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" sheetId="1" r:id="rId4"/>
    <sheet state="visible" name="DvP" sheetId="2" r:id="rId5"/>
    <sheet state="visible" name="fanduel" sheetId="3" r:id="rId6"/>
    <sheet state="visible" name="numfire" sheetId="4" r:id="rId7"/>
    <sheet state="visible" name="fpros" sheetId="5" r:id="rId8"/>
    <sheet state="visible" name="projections" sheetId="6" r:id="rId9"/>
    <sheet state="visible" name="usage" sheetId="7" r:id="rId10"/>
    <sheet state="visible" name="archtypes" sheetId="8" r:id="rId11"/>
    <sheet state="visible" name="DvA" sheetId="9" r:id="rId12"/>
    <sheet state="visible" name="Sheet20" sheetId="10" r:id="rId13"/>
  </sheets>
  <definedNames>
    <definedName hidden="1" localSheetId="0" name="Z_B2053525_1D87_4855_A597_6C96D0FF6980_.wvu.FilterData">'Data Table'!$A$1:$L$1000</definedName>
    <definedName hidden="1" localSheetId="1" name="Z_B2053525_1D87_4855_A597_6C96D0FF6980_.wvu.FilterData">DvP!$A$1:$F$32</definedName>
    <definedName hidden="1" localSheetId="0" name="Z_C324CF18_2704_49E9_BA40_EE2F989981AC_.wvu.FilterData">'Data Table'!$A$1:$L$135</definedName>
  </definedNames>
  <calcPr/>
  <customWorkbookViews>
    <customWorkbookView activeSheetId="0" maximized="1" windowHeight="0" windowWidth="0" guid="{C324CF18-2704-49E9-BA40-EE2F989981AC}" name="Filter 2"/>
    <customWorkbookView activeSheetId="0" maximized="1" windowHeight="0" windowWidth="0" guid="{B2053525-1D87-4855-A597-6C96D0FF6980}" name="Filter 1"/>
  </customWorkbookViews>
</workbook>
</file>

<file path=xl/sharedStrings.xml><?xml version="1.0" encoding="utf-8"?>
<sst xmlns="http://schemas.openxmlformats.org/spreadsheetml/2006/main" count="6337" uniqueCount="1082">
  <si>
    <t>Position</t>
  </si>
  <si>
    <t>Nickname</t>
  </si>
  <si>
    <t>Salary</t>
  </si>
  <si>
    <t>Team</t>
  </si>
  <si>
    <t>Opponent</t>
  </si>
  <si>
    <t>Projection</t>
  </si>
  <si>
    <t>Value</t>
  </si>
  <si>
    <t>Usage %</t>
  </si>
  <si>
    <t>DvP</t>
  </si>
  <si>
    <t>DvA</t>
  </si>
  <si>
    <t>Archtype</t>
  </si>
  <si>
    <t>PTS for 5x value</t>
  </si>
  <si>
    <t>PG</t>
  </si>
  <si>
    <t>Russell Westbrook</t>
  </si>
  <si>
    <t>WAS</t>
  </si>
  <si>
    <t>ATL</t>
  </si>
  <si>
    <t>PF</t>
  </si>
  <si>
    <t>Giannis Antetokounmpo</t>
  </si>
  <si>
    <t>MIL</t>
  </si>
  <si>
    <t>SA</t>
  </si>
  <si>
    <t>Domantas Sabonis</t>
  </si>
  <si>
    <t>IND</t>
  </si>
  <si>
    <t>CLE</t>
  </si>
  <si>
    <t>Stephen Curry</t>
  </si>
  <si>
    <t>GS</t>
  </si>
  <si>
    <t>UTA</t>
  </si>
  <si>
    <t>Zion Williamson</t>
  </si>
  <si>
    <t>NO</t>
  </si>
  <si>
    <t>MEM</t>
  </si>
  <si>
    <t>Damian Lillard</t>
  </si>
  <si>
    <t>POR</t>
  </si>
  <si>
    <t>HOU</t>
  </si>
  <si>
    <t>SG</t>
  </si>
  <si>
    <t>Bradley Beal</t>
  </si>
  <si>
    <t>Donovan Mitchell</t>
  </si>
  <si>
    <t>Caris LeVert</t>
  </si>
  <si>
    <t>Christian Wood</t>
  </si>
  <si>
    <t>Trae Young</t>
  </si>
  <si>
    <t>SF</t>
  </si>
  <si>
    <t>Khris Middleton</t>
  </si>
  <si>
    <t>Jrue Holiday</t>
  </si>
  <si>
    <t>DeMar DeRozan</t>
  </si>
  <si>
    <t>C</t>
  </si>
  <si>
    <t>Kelly Olynyk</t>
  </si>
  <si>
    <t>Jonas Valanciunas</t>
  </si>
  <si>
    <t>Malcolm Brogdon</t>
  </si>
  <si>
    <t>Rudy Gobert</t>
  </si>
  <si>
    <t>Lonzo Ball</t>
  </si>
  <si>
    <t>Draymond Green</t>
  </si>
  <si>
    <t>Clint Capela</t>
  </si>
  <si>
    <t>CJ McCollum</t>
  </si>
  <si>
    <t>Jusuf Nurkic</t>
  </si>
  <si>
    <t>Mike Conley</t>
  </si>
  <si>
    <t>Collin Sexton</t>
  </si>
  <si>
    <t>Brandon Ingram</t>
  </si>
  <si>
    <t>Dejounte Murray</t>
  </si>
  <si>
    <t>Jordan Clarkson</t>
  </si>
  <si>
    <t>Darius Garland</t>
  </si>
  <si>
    <t>Bogdan Bogdanovic</t>
  </si>
  <si>
    <t>Andrew Wiggins</t>
  </si>
  <si>
    <t>Ja Morant</t>
  </si>
  <si>
    <t>Kenyon Martin</t>
  </si>
  <si>
    <t>Nickeil Alexander-Walker</t>
  </si>
  <si>
    <t>Jarrett Allen</t>
  </si>
  <si>
    <t>Derrick White</t>
  </si>
  <si>
    <t>John Collins</t>
  </si>
  <si>
    <t>Kelly Oubre</t>
  </si>
  <si>
    <t>Danilo Gallinari</t>
  </si>
  <si>
    <t>JaeSean Tate</t>
  </si>
  <si>
    <t>Joe Ingles</t>
  </si>
  <si>
    <t>TJ McConnell</t>
  </si>
  <si>
    <t>Josh Hart</t>
  </si>
  <si>
    <t>Bojan Bogdanovic</t>
  </si>
  <si>
    <t>Kevin Porter</t>
  </si>
  <si>
    <t>Brook Lopez</t>
  </si>
  <si>
    <t>Kevin Love</t>
  </si>
  <si>
    <t>Cedi Osman</t>
  </si>
  <si>
    <t>Kyle Anderson</t>
  </si>
  <si>
    <t>Myles Turner</t>
  </si>
  <si>
    <t>Oshae Brissett</t>
  </si>
  <si>
    <t>Willy Hernangomez</t>
  </si>
  <si>
    <t>Jakob Poeltl</t>
  </si>
  <si>
    <t>Eric Bledsoe</t>
  </si>
  <si>
    <t>Rui Hachimura</t>
  </si>
  <si>
    <t>Jaxson Hayes</t>
  </si>
  <si>
    <t>Norman Powell</t>
  </si>
  <si>
    <t>Jaren Jackson</t>
  </si>
  <si>
    <t>Juan Toscano-Anderson</t>
  </si>
  <si>
    <t>Robert Covington</t>
  </si>
  <si>
    <t>Jeremy Lamb</t>
  </si>
  <si>
    <t>Donte DiVincenzo</t>
  </si>
  <si>
    <t>Cam Reddish</t>
  </si>
  <si>
    <t>Rudy Gay</t>
  </si>
  <si>
    <t>Bobby Portis</t>
  </si>
  <si>
    <t>Kent Bazemore</t>
  </si>
  <si>
    <t>Dillon Brooks</t>
  </si>
  <si>
    <t>DJ Wilson</t>
  </si>
  <si>
    <t>Enes Kanter</t>
  </si>
  <si>
    <t>Khyri Thomas</t>
  </si>
  <si>
    <t>Daniel Gafford</t>
  </si>
  <si>
    <t>Raul Neto</t>
  </si>
  <si>
    <t>Naji Marshall</t>
  </si>
  <si>
    <t>Kevin Huerter</t>
  </si>
  <si>
    <t>Carmelo Anthony</t>
  </si>
  <si>
    <t>DaQuan Jeffries</t>
  </si>
  <si>
    <t>Aaron Holiday</t>
  </si>
  <si>
    <t>Royce ONeale</t>
  </si>
  <si>
    <t>Desmond Bane</t>
  </si>
  <si>
    <t>Armoni Brooks</t>
  </si>
  <si>
    <t>Steven Adams</t>
  </si>
  <si>
    <t>Bryn Forbes</t>
  </si>
  <si>
    <t>Keldon Johnson</t>
  </si>
  <si>
    <t>Brandon Clarke</t>
  </si>
  <si>
    <t>James Johnson</t>
  </si>
  <si>
    <t>Isaac Okoro</t>
  </si>
  <si>
    <t>Anthony Lamb</t>
  </si>
  <si>
    <t>Lonnie Walker</t>
  </si>
  <si>
    <t>Kira Lewis</t>
  </si>
  <si>
    <t>Larry Nance</t>
  </si>
  <si>
    <t>Edmond Sumner</t>
  </si>
  <si>
    <t>Alex Len</t>
  </si>
  <si>
    <t>Robin Lopez</t>
  </si>
  <si>
    <t>Justin Holiday</t>
  </si>
  <si>
    <t>Jordan Poole</t>
  </si>
  <si>
    <t>Goga Bitadze</t>
  </si>
  <si>
    <t>Eric Gordon</t>
  </si>
  <si>
    <t>Wenyen Gabriel</t>
  </si>
  <si>
    <t>Kevon Looney</t>
  </si>
  <si>
    <t>Eric Paschall</t>
  </si>
  <si>
    <t>DJ Augustin</t>
  </si>
  <si>
    <t>Sterling Brown</t>
  </si>
  <si>
    <t>Doug McDermott</t>
  </si>
  <si>
    <t>Devin Vassell</t>
  </si>
  <si>
    <t>Georges Niang</t>
  </si>
  <si>
    <t>Ish Smith</t>
  </si>
  <si>
    <t>Lou Williams</t>
  </si>
  <si>
    <t>Drew Eubanks</t>
  </si>
  <si>
    <t>Pat Connaughton</t>
  </si>
  <si>
    <t>DeAndre Hunter</t>
  </si>
  <si>
    <t>JaKarr Sampson</t>
  </si>
  <si>
    <t>Xavier Tillman</t>
  </si>
  <si>
    <t>Mychal Mulder</t>
  </si>
  <si>
    <t>Davis Bertans</t>
  </si>
  <si>
    <t>Anfernee Simons</t>
  </si>
  <si>
    <t>David Nwaba</t>
  </si>
  <si>
    <t>Dean Wade</t>
  </si>
  <si>
    <t>Trent Forrest</t>
  </si>
  <si>
    <t>TJ Warren</t>
  </si>
  <si>
    <t>DeAnthony Melton</t>
  </si>
  <si>
    <t>Kris Dunn</t>
  </si>
  <si>
    <t>Danuel House</t>
  </si>
  <si>
    <t>Garrison Mathews</t>
  </si>
  <si>
    <t>Taurean Prince</t>
  </si>
  <si>
    <t>Jeremiah Martin</t>
  </si>
  <si>
    <t>Juwan Morgan</t>
  </si>
  <si>
    <t>John Wall</t>
  </si>
  <si>
    <t>Avery Bradley</t>
  </si>
  <si>
    <t>Didi Louzada</t>
  </si>
  <si>
    <t>Luka Samanic</t>
  </si>
  <si>
    <t>Solomon Hill</t>
  </si>
  <si>
    <t>Keljin Blevins</t>
  </si>
  <si>
    <t>Derrick Favors</t>
  </si>
  <si>
    <t>Nathan Knight</t>
  </si>
  <si>
    <t>Trey Lyles</t>
  </si>
  <si>
    <t>Matthew Dellavedova</t>
  </si>
  <si>
    <t>Tony Snell</t>
  </si>
  <si>
    <t>Damyean Dotson</t>
  </si>
  <si>
    <t>Deni Avdija</t>
  </si>
  <si>
    <t>James Nunnally</t>
  </si>
  <si>
    <t>Anthony Gill</t>
  </si>
  <si>
    <t>Rondae Hollis-Jefferson</t>
  </si>
  <si>
    <t>Klay Thompson</t>
  </si>
  <si>
    <t>Tim Frazier</t>
  </si>
  <si>
    <t>Keita Bates-Diop</t>
  </si>
  <si>
    <t>Patty Mills</t>
  </si>
  <si>
    <t>Mamadi Diakite</t>
  </si>
  <si>
    <t>Tyus Jones</t>
  </si>
  <si>
    <t>Chandler Hutchison</t>
  </si>
  <si>
    <t>Killian Tillie</t>
  </si>
  <si>
    <t>Justise Winslow</t>
  </si>
  <si>
    <t>Jarrell Brantley</t>
  </si>
  <si>
    <t>Jeff Teague</t>
  </si>
  <si>
    <t>Grayson Allen</t>
  </si>
  <si>
    <t>Matt Thomas</t>
  </si>
  <si>
    <t>Thomas Bryant</t>
  </si>
  <si>
    <t>Isaac Bonga</t>
  </si>
  <si>
    <t>Miye Oni</t>
  </si>
  <si>
    <t>Bruno Fernando</t>
  </si>
  <si>
    <t>Dylan Windler</t>
  </si>
  <si>
    <t>Nassir Little</t>
  </si>
  <si>
    <t>Quinndary Weatherspoon</t>
  </si>
  <si>
    <t>Thanasis Antetokounmpo</t>
  </si>
  <si>
    <t>Dante Exum</t>
  </si>
  <si>
    <t>John Konchar</t>
  </si>
  <si>
    <t>Anderson Varejao</t>
  </si>
  <si>
    <t>Mfiondu Kabengele</t>
  </si>
  <si>
    <t>Justin Jackson</t>
  </si>
  <si>
    <t>Alen Smailagic</t>
  </si>
  <si>
    <t>Wes Iwundu</t>
  </si>
  <si>
    <t>Jontay Porter</t>
  </si>
  <si>
    <t>Amida Brimah</t>
  </si>
  <si>
    <t>Brodric Thomas</t>
  </si>
  <si>
    <t>PJ Tucker</t>
  </si>
  <si>
    <t>Ersan Ilyasova</t>
  </si>
  <si>
    <t>Skylar Mays</t>
  </si>
  <si>
    <t>CJ Elleby</t>
  </si>
  <si>
    <t>Derrick Jones</t>
  </si>
  <si>
    <t>Onyeka Okongwu</t>
  </si>
  <si>
    <t>Gorgui Dieng</t>
  </si>
  <si>
    <t>Kelan Martin</t>
  </si>
  <si>
    <t>Udoka Azubuike</t>
  </si>
  <si>
    <t>Elijah Hughes</t>
  </si>
  <si>
    <t>Jordan Nwora</t>
  </si>
  <si>
    <t>Sam Merrill</t>
  </si>
  <si>
    <t>Tre Jones</t>
  </si>
  <si>
    <t>Axel Toupane</t>
  </si>
  <si>
    <t>Zach Collins</t>
  </si>
  <si>
    <t>Harry Giles</t>
  </si>
  <si>
    <t>TJ Leaf</t>
  </si>
  <si>
    <t>Isaiah Hartenstein</t>
  </si>
  <si>
    <t>Cassius Stanley</t>
  </si>
  <si>
    <t>James Wiseman</t>
  </si>
  <si>
    <t>Nico Mannion</t>
  </si>
  <si>
    <t>Cassius Winston</t>
  </si>
  <si>
    <t>Damion Lee</t>
  </si>
  <si>
    <t>Sean McDermott</t>
  </si>
  <si>
    <t>Lamar Stevens</t>
  </si>
  <si>
    <t>Brandon Goodwin</t>
  </si>
  <si>
    <t>Elijah Bryant</t>
  </si>
  <si>
    <t>team_name</t>
  </si>
  <si>
    <t>LAL</t>
  </si>
  <si>
    <t>OKC</t>
  </si>
  <si>
    <t>BKN</t>
  </si>
  <si>
    <t>LAC</t>
  </si>
  <si>
    <t>ORL</t>
  </si>
  <si>
    <t>DEN</t>
  </si>
  <si>
    <t>DAL</t>
  </si>
  <si>
    <t>MIN</t>
  </si>
  <si>
    <t>MIA</t>
  </si>
  <si>
    <t>BOS</t>
  </si>
  <si>
    <t>PHO</t>
  </si>
  <si>
    <t>NY</t>
  </si>
  <si>
    <t>CHI</t>
  </si>
  <si>
    <t>DET</t>
  </si>
  <si>
    <t>TOR</t>
  </si>
  <si>
    <t>CHA</t>
  </si>
  <si>
    <t>SAC</t>
  </si>
  <si>
    <t>PHI</t>
  </si>
  <si>
    <t>Player</t>
  </si>
  <si>
    <t>Proj</t>
  </si>
  <si>
    <t>Patrick Mills</t>
  </si>
  <si>
    <t>Wesley Iwundu</t>
  </si>
  <si>
    <t>Giannis Antetokounmpo (MIL - PF) 
DTD</t>
  </si>
  <si>
    <t>@ATL (Thu 7:30PM)</t>
  </si>
  <si>
    <t>20th</t>
  </si>
  <si>
    <t>MIL -5.5</t>
  </si>
  <si>
    <t>Stephen Curry (GSW - PG)</t>
  </si>
  <si>
    <t>@CLE (Thu 8:00PM)</t>
  </si>
  <si>
    <t>7th</t>
  </si>
  <si>
    <t>GSW -6.5</t>
  </si>
  <si>
    <t>DeAaron Fox (SAC - PG)</t>
  </si>
  <si>
    <t>@PHO (Thu 10:00PM)</t>
  </si>
  <si>
    <t>5th</t>
  </si>
  <si>
    <t>PHO -13</t>
  </si>
  <si>
    <t>Jayson Tatum (BOS - PF)</t>
  </si>
  <si>
    <t>@LAL (Thu 10:00PM)</t>
  </si>
  <si>
    <t>12th</t>
  </si>
  <si>
    <t>BOS -6</t>
  </si>
  <si>
    <t>Clint Capela (ATL - C)</t>
  </si>
  <si>
    <t>MIL (Thu 7:30PM)</t>
  </si>
  <si>
    <t>13th</t>
  </si>
  <si>
    <t>Trae Young (ATL - PG) 
DTD</t>
  </si>
  <si>
    <t>14th</t>
  </si>
  <si>
    <t>Devin Booker (PHO - SG)</t>
  </si>
  <si>
    <t>SAC (Thu 10:00PM)</t>
  </si>
  <si>
    <t>28th</t>
  </si>
  <si>
    <t>Chris Paul (PHO - PG)</t>
  </si>
  <si>
    <t>24th</t>
  </si>
  <si>
    <t>Jaylen Brown (BOS - SF)</t>
  </si>
  <si>
    <t>Draymond Green (GSW - PF)</t>
  </si>
  <si>
    <t>Khris Middleton (MIL - SF)</t>
  </si>
  <si>
    <t>6th</t>
  </si>
  <si>
    <t>Jarrett Allen (CLE - C)</t>
  </si>
  <si>
    <t>GSW (Thu 8:00PM)</t>
  </si>
  <si>
    <t>27th</t>
  </si>
  <si>
    <t>Collin Sexton (CLE - SG) 
DTD</t>
  </si>
  <si>
    <t>21st</t>
  </si>
  <si>
    <t>Jrue Holiday (MIL - PG)</t>
  </si>
  <si>
    <t>Deandre Ayton (PHO - C)</t>
  </si>
  <si>
    <t>22nd</t>
  </si>
  <si>
    <t>Kemba Walker (BOS - PG)</t>
  </si>
  <si>
    <t>16th</t>
  </si>
  <si>
    <t>Andrew Wiggins (GSW - SG)</t>
  </si>
  <si>
    <t>Dennis Schroder (LAL - PG) 
DTD</t>
  </si>
  <si>
    <t>BOS (Thu 10:00PM)</t>
  </si>
  <si>
    <t>10th</t>
  </si>
  <si>
    <t>Bogdan Bogdanovic (ATL - SF)</t>
  </si>
  <si>
    <t>Robert Williams III (BOS - C) 
DTD</t>
  </si>
  <si>
    <t>4th</t>
  </si>
  <si>
    <t>Andre Drummond (LAL - C) 
DTD</t>
  </si>
  <si>
    <t>15th</t>
  </si>
  <si>
    <t>Marcus Smart (BOS - SG)</t>
  </si>
  <si>
    <t>2nd</t>
  </si>
  <si>
    <t>Kevin Love (CLE - PF)</t>
  </si>
  <si>
    <t>Kent Bazemore (GSW - SF)</t>
  </si>
  <si>
    <t>19th</t>
  </si>
  <si>
    <t>Darius Garland (CLE - PG)</t>
  </si>
  <si>
    <t>Kyle Kuzma (LAL - SF) 
DTD</t>
  </si>
  <si>
    <t>9th</t>
  </si>
  <si>
    <t>Harrison Barnes (SAC - PF)</t>
  </si>
  <si>
    <t>Tyrese Haliburton (SAC - SG)</t>
  </si>
  <si>
    <t>1st</t>
  </si>
  <si>
    <t>Hassan Whiteside (SAC - C)</t>
  </si>
  <si>
    <t>8th</t>
  </si>
  <si>
    <t>Mikal Bridges (PHO - SF)</t>
  </si>
  <si>
    <t>Buddy Hield (SAC - SF)</t>
  </si>
  <si>
    <t>Brook Lopez (MIL - C)</t>
  </si>
  <si>
    <t>Kevin Huerter (ATL - SG)</t>
  </si>
  <si>
    <t>17th</t>
  </si>
  <si>
    <t>Markieff Morris (LAL - PF) 
DTD</t>
  </si>
  <si>
    <t>Larry Nance Jr (CLE - PF)</t>
  </si>
  <si>
    <t>Kevon Looney (GSW - C)</t>
  </si>
  <si>
    <t>Lou Williams (ATL - SG)</t>
  </si>
  <si>
    <t>Talen Horton-Tucker (LAL - SG)</t>
  </si>
  <si>
    <t>3rd</t>
  </si>
  <si>
    <t>Tristan Thompson (BOS - C)</t>
  </si>
  <si>
    <t>Jae Crowder (PHO - PF)</t>
  </si>
  <si>
    <t>Montrezl Harrell (LAL - C)</t>
  </si>
  <si>
    <t>Bobby Portis Jr (MIL - PF)</t>
  </si>
  <si>
    <t>Jordan Poole (GSW - PG)</t>
  </si>
  <si>
    <t>Isaac Okoro (CLE - SG)</t>
  </si>
  <si>
    <t>Kentavious Caldwell-Pope (LAL - SF)</t>
  </si>
  <si>
    <t>Alex Caruso (LAL - PG)</t>
  </si>
  <si>
    <t>Cameron Payne (PHO - PG)</t>
  </si>
  <si>
    <t>Taurean Prince (CLE - SF)</t>
  </si>
  <si>
    <t>Delon Wright (SAC - PG)</t>
  </si>
  <si>
    <t>Pat Connaughton (MIL - SG)</t>
  </si>
  <si>
    <t>18th</t>
  </si>
  <si>
    <t>Juan Toscano-Anderson (GSW - PF)</t>
  </si>
  <si>
    <t>Cameron Johnson (PHO - SF)</t>
  </si>
  <si>
    <t>Damion Lee (GSW - SG)</t>
  </si>
  <si>
    <t>Dario Saric (PHO - PF)</t>
  </si>
  <si>
    <t>Solomon Hill (ATL - SF)</t>
  </si>
  <si>
    <t>Dean Wade (CLE - PF)</t>
  </si>
  <si>
    <t>Torrey Craig (PHO - SG)</t>
  </si>
  <si>
    <t>Maurice Harkless (SAC - SF)</t>
  </si>
  <si>
    <t>Nathan Knight (ATL - PF)</t>
  </si>
  <si>
    <t>Matthew Dellavedova (CLE - PG)</t>
  </si>
  <si>
    <t>PJ Tucker (MIL - PF)</t>
  </si>
  <si>
    <t>Wesley Matthews (LAL - SG) 
DTD</t>
  </si>
  <si>
    <t>Jeff Teague (MIL - PG)</t>
  </si>
  <si>
    <t>Terence Davis II (SAC - SG)</t>
  </si>
  <si>
    <t>Jevon Carter (PHO - SG)</t>
  </si>
  <si>
    <t>Bryn Forbes (MIL - PG)</t>
  </si>
  <si>
    <t>Payton Pritchard (BOS - PG)</t>
  </si>
  <si>
    <t>Marc Gasol (LAL - C) 
DTD</t>
  </si>
  <si>
    <t>Chimezie Metu (SAC - C)</t>
  </si>
  <si>
    <t>Onyeka Okongwu (ATL - C)</t>
  </si>
  <si>
    <t>Damian Jones (SAC - C)</t>
  </si>
  <si>
    <t>Grant Williams (BOS - PF)</t>
  </si>
  <si>
    <t>Frank Kaminsky III (PHO - PF)</t>
  </si>
  <si>
    <t>Nico Mannion (GSW - PG)</t>
  </si>
  <si>
    <t>Romeo Langford (BOS - SG)</t>
  </si>
  <si>
    <t>Semi Ojeleye (BOS - SF)</t>
  </si>
  <si>
    <t>Sam Merrill (MIL - PG)</t>
  </si>
  <si>
    <t>Tremont Waters (BOS - PG)</t>
  </si>
  <si>
    <t>Eric Paschall (GSW - C) 
OUT</t>
  </si>
  <si>
    <t>Bruno Fernando (ATL - PF)</t>
  </si>
  <si>
    <t>Carsen Edwards (BOS - PG)</t>
  </si>
  <si>
    <t>Justin James (SAC - SG)</t>
  </si>
  <si>
    <t>DeAndre Hunter (ATL - SF) 
OUT</t>
  </si>
  <si>
    <t>Cam Reddish (ATL - SG) 
OUT</t>
  </si>
  <si>
    <t>Dylan Windler (CLE - SG) 
OUT</t>
  </si>
  <si>
    <t>Mfiondu Kabengele (CLE - SF)</t>
  </si>
  <si>
    <t>Kyle Guy (SAC - SG)</t>
  </si>
  <si>
    <t>Alen Smailagic (GSW - PF)</t>
  </si>
  <si>
    <t>Thanasis Antetokounmpo (MIL - SF)</t>
  </si>
  <si>
    <t>Tacko Fall (BOS - C)</t>
  </si>
  <si>
    <t>Mychal Mulder (GSW - SF)</t>
  </si>
  <si>
    <t>Chris Silva (SAC - PF)</t>
  </si>
  <si>
    <t>Devontae Cacok (LAL - PF)</t>
  </si>
  <si>
    <t>Klay Thompson (GSW - SG) 
OUT</t>
  </si>
  <si>
    <t>-</t>
  </si>
  <si>
    <t>Skylar Mays (ATL - SG)</t>
  </si>
  <si>
    <t>Jordan Nwora (MIL - PF)</t>
  </si>
  <si>
    <t>Jalen Smith (PHO - PF)</t>
  </si>
  <si>
    <t>Aaron Nesmith (BOS - SG)</t>
  </si>
  <si>
    <t>Jahmius Ramsey (SAC - PG)</t>
  </si>
  <si>
    <t>James Wiseman (GSW - C) 
OUT</t>
  </si>
  <si>
    <t>Robert Woodard II (SAC - PF)</t>
  </si>
  <si>
    <t>Lamar Stevens (CLE - PF)</t>
  </si>
  <si>
    <t>ETwaun Moore (PHO - SF)</t>
  </si>
  <si>
    <t>Mamadi Diakite (MIL - PF)</t>
  </si>
  <si>
    <t>Ty-Shon Alexander (PHO - SG)</t>
  </si>
  <si>
    <t>Brodric Thomas (CLE - SG)</t>
  </si>
  <si>
    <t>Axel Toupane (MIL - SG)</t>
  </si>
  <si>
    <t>Ben McLemore (LAL - SG)</t>
  </si>
  <si>
    <t>Anthony Davis (LAL - PF) 
OUT</t>
  </si>
  <si>
    <t>Langston Galloway (PHO - SG)</t>
  </si>
  <si>
    <t>Tony Snell (ATL - SF) 
OUT</t>
  </si>
  <si>
    <t>Alfonzo McKinnie (LAL - SF)</t>
  </si>
  <si>
    <t>Abdel Nader (PHO - SF) 
OUT</t>
  </si>
  <si>
    <t>Evan Fournier (BOS - SG) 
OUT</t>
  </si>
  <si>
    <t>Richaun Holmes (SAC - C) 
OUT</t>
  </si>
  <si>
    <t>Damyean Dotson (CLE - PG) 
OUT</t>
  </si>
  <si>
    <t>Kris Dunn (ATL - PG) 
OUT</t>
  </si>
  <si>
    <t>Luke Kornet (BOS - PF)</t>
  </si>
  <si>
    <t>Kelly Oubre Jr (GSW - SF) 
OUT</t>
  </si>
  <si>
    <t>Gary Payton II (GSW - SG)</t>
  </si>
  <si>
    <t>Cedi Osman (CLE - SF)</t>
  </si>
  <si>
    <t>John Collins (ATL - PF) 
OUT</t>
  </si>
  <si>
    <t>Isaiah Hartenstein (CLE - PF)</t>
  </si>
  <si>
    <t>Marvin Bagley III (SAC - PF) 
OUT</t>
  </si>
  <si>
    <t>Donte DiVincenzo (MIL - SG) 
OUT</t>
  </si>
  <si>
    <t>Rodions Kurucs (MIL - PF)</t>
  </si>
  <si>
    <t>Moritz Wagner (BOS - PF)</t>
  </si>
  <si>
    <t>Kostas Antetokounmpo (LAL - PF)</t>
  </si>
  <si>
    <t>LeBron James (LAL - SF) 
OUT</t>
  </si>
  <si>
    <t>Danilo Gallinari (ATL - PF) 
OUT</t>
  </si>
  <si>
    <t>Brandon Goodwin (ATL - PG)</t>
  </si>
  <si>
    <t>Jared Dudley (LAL - SF) 
OUT</t>
  </si>
  <si>
    <t>Michael Carter-Williams (ORL - PG)</t>
  </si>
  <si>
    <t>@CHI (Wed 8:00PM)</t>
  </si>
  <si>
    <t>CHI -9.5</t>
  </si>
  <si>
    <t>Kenyon Martin Jr (HOU - PF)</t>
  </si>
  <si>
    <t>IND (Wed 9:00PM)</t>
  </si>
  <si>
    <t>25th</t>
  </si>
  <si>
    <t>IND -4.5</t>
  </si>
  <si>
    <t>James Ennis III (ORL - SF)</t>
  </si>
  <si>
    <t>WAS (Wed 10:00PM)</t>
  </si>
  <si>
    <t>23rd</t>
  </si>
  <si>
    <t>WAS -2.5</t>
  </si>
  <si>
    <t>@CHA (Wed 7:00PM)</t>
  </si>
  <si>
    <t>CHA -3.5</t>
  </si>
  <si>
    <t>Stanley Johnson (TOR - SF)</t>
  </si>
  <si>
    <t>SAS (Wed 7:30PM)</t>
  </si>
  <si>
    <t>SAS -5.5</t>
  </si>
  <si>
    <t>Taj Gibson (NYK - PF)</t>
  </si>
  <si>
    <t>@NOR (Wed 8:00PM)</t>
  </si>
  <si>
    <t>NOR -3</t>
  </si>
  <si>
    <t>Garrett Temple (CHI - SF) 
DTD</t>
  </si>
  <si>
    <t>ORL (Wed 8:00PM)</t>
  </si>
  <si>
    <t>29th</t>
  </si>
  <si>
    <t>Alize Johnson (BKN - PF)</t>
  </si>
  <si>
    <t>@PHI (Wed 7:00PM)</t>
  </si>
  <si>
    <t>PHI -8.5</t>
  </si>
  <si>
    <t>Goga Bitadze (IND - C)</t>
  </si>
  <si>
    <t>@HOU (Wed 9:00PM)</t>
  </si>
  <si>
    <t>Duncan Robinson (MIA - SG)</t>
  </si>
  <si>
    <t>@DEN (Wed 10:00PM)</t>
  </si>
  <si>
    <t>DEN -6</t>
  </si>
  <si>
    <t>James Johnson (NOR - PF) 
DTD</t>
  </si>
  <si>
    <t>NYK (Wed 8:00PM)</t>
  </si>
  <si>
    <t>30th</t>
  </si>
  <si>
    <t>Tim Hardaway Jr (DAL - SG)</t>
  </si>
  <si>
    <t>@MEM (Wed 9:30PM)</t>
  </si>
  <si>
    <t>DAL -3</t>
  </si>
  <si>
    <t>Lauri Markkanen (CHI - PF)</t>
  </si>
  <si>
    <t>Svi Mykhailiuk (OKC - SG)</t>
  </si>
  <si>
    <t>GSW (Wed 9:00PM)</t>
  </si>
  <si>
    <t>GSW -11.5</t>
  </si>
  <si>
    <t>Robin Lopez (WAS - C)</t>
  </si>
  <si>
    <t>@SAC (Wed 10:00PM)</t>
  </si>
  <si>
    <t>@OKC (Wed 9:00PM)</t>
  </si>
  <si>
    <t>Shake Milton (PHI - PG)</t>
  </si>
  <si>
    <t>BKN (Wed 7:00PM)</t>
  </si>
  <si>
    <t>Gary Harris (ORL - SG)</t>
  </si>
  <si>
    <t>11th</t>
  </si>
  <si>
    <t>Reggie Bullock (NYK - SG)</t>
  </si>
  <si>
    <t>Jeremy Lamb (IND - SG)</t>
  </si>
  <si>
    <t>Matisse Thybulle (PHI - SF)</t>
  </si>
  <si>
    <t>Killian Hayes (DET - PG)</t>
  </si>
  <si>
    <t>LAC (Wed 8:00PM)</t>
  </si>
  <si>
    <t>LAC -3</t>
  </si>
  <si>
    <t>Willie Cauley-Stein (DAL - C)</t>
  </si>
  <si>
    <t>Furkan Korkmaz (PHI - SG)</t>
  </si>
  <si>
    <t>Landry Shamet (BKN - SG)</t>
  </si>
  <si>
    <t>Facundo Campazzo (DEN - PG)</t>
  </si>
  <si>
    <t>MIA (Wed 10:00PM)</t>
  </si>
  <si>
    <t>Timothe Luwawu-Cabarrot (BKN - SF)</t>
  </si>
  <si>
    <t>Kenrich Williams (OKC - SF)</t>
  </si>
  <si>
    <t>Rajon Rondo (LAC - PG)</t>
  </si>
  <si>
    <t>@DET (Wed 8:00PM)</t>
  </si>
  <si>
    <t>Caleb Martin (CHA - SF)</t>
  </si>
  <si>
    <t>CLE (Wed 7:00PM)</t>
  </si>
  <si>
    <t>Andre Iguodala (MIA - SF)</t>
  </si>
  <si>
    <t>26th</t>
  </si>
  <si>
    <t>Desmond Bane (MEM - SG)</t>
  </si>
  <si>
    <t>DAL (Wed 9:30PM)</t>
  </si>
  <si>
    <t>Immanuel Quickley (NYK - SG)</t>
  </si>
  <si>
    <t>PJ Dozier (DEN - SG)</t>
  </si>
  <si>
    <t>Mike Muscala (OKC - C) 
DTD</t>
  </si>
  <si>
    <t>Paul Millsap (DEN - PF)</t>
  </si>
  <si>
    <t>Dwayne Bacon (ORL - SG)</t>
  </si>
  <si>
    <t>Brad Wanamaker (CHA - PG)</t>
  </si>
  <si>
    <t>RJ Hampton Jr (ORL - PG)</t>
  </si>
  <si>
    <t>Doug McDermott (IND - PF) 
DTD</t>
  </si>
  <si>
    <t>Naji Marshall (NOR - SF)</t>
  </si>
  <si>
    <t>Tyus Jones (MEM - PG)</t>
  </si>
  <si>
    <t>Patrick Patterson (LAC - PF)</t>
  </si>
  <si>
    <t>Avery Bradley (HOU - SG)</t>
  </si>
  <si>
    <t>Raul Neto (WAS - PG)</t>
  </si>
  <si>
    <t>Precious Achiuwa (MIA - PF)</t>
  </si>
  <si>
    <t>JaMychal Green (DEN - PF)</t>
  </si>
  <si>
    <t>Alex Len (WAS - C)</t>
  </si>
  <si>
    <t>Edmond Sumner (IND - PG)</t>
  </si>
  <si>
    <t>Xavier Tillman (MEM - PF)</t>
  </si>
  <si>
    <t>Wes Iwundu (NOR - SG)</t>
  </si>
  <si>
    <t>Ish Smith (WAS - PG)</t>
  </si>
  <si>
    <t>Devin Vassell (SAS - SG)</t>
  </si>
  <si>
    <t>@TOR (Wed 7:30PM)</t>
  </si>
  <si>
    <t>Rodney Hood (TOR - SG)</t>
  </si>
  <si>
    <t>Cody Martin (CHA - SG)</t>
  </si>
  <si>
    <t>Lonnie Walker IV (SAS - SG)</t>
  </si>
  <si>
    <t>Drew Eubanks (SAS - C)</t>
  </si>
  <si>
    <t>JJ Redick (DAL - SF)</t>
  </si>
  <si>
    <t>Wayne Ellington (DET - SG)</t>
  </si>
  <si>
    <t>Garrison Mathews (WAS - SF)</t>
  </si>
  <si>
    <t>Mike Scott (PHI - PF)</t>
  </si>
  <si>
    <t>Tyrese Maxey (PHI - SG)</t>
  </si>
  <si>
    <t>John Konchar (MEM - SG)</t>
  </si>
  <si>
    <t>Obi Toppin (NYK - SF)</t>
  </si>
  <si>
    <t>Paul Watson (TOR - SG) 
DTD</t>
  </si>
  <si>
    <t>Chandler Hutchison (WAS - SF)</t>
  </si>
  <si>
    <t>Sekou Doumbouya (DET - PF)</t>
  </si>
  <si>
    <t>Frank Jackson (DET - PG)</t>
  </si>
  <si>
    <t>Nemanja Bjelica (MIA - PF)</t>
  </si>
  <si>
    <t>Trey Burke (DAL - PG)</t>
  </si>
  <si>
    <t>Cassius Winston (WAS - PG)</t>
  </si>
  <si>
    <t>Gabe Vincent (MIA - PG)</t>
  </si>
  <si>
    <t>KZ Okpala (MIA - SF)</t>
  </si>
  <si>
    <t>Bol Bol (DEN - C)</t>
  </si>
  <si>
    <t>Quinndary Weatherspoon (SAS - SG)</t>
  </si>
  <si>
    <t>Nickeil Alexander-Walker (NOR - SG) 
OUT</t>
  </si>
  <si>
    <t>Deividas Sirvydis (DET - SF)</t>
  </si>
  <si>
    <t>Luka Samanic (SAS - PF)</t>
  </si>
  <si>
    <t>Nicolo Melli (DAL - PF)</t>
  </si>
  <si>
    <t>Brian Bowen II (IND - SG)</t>
  </si>
  <si>
    <t>Adam Mokoka (CHI - SG)</t>
  </si>
  <si>
    <t>Justin Robinson (OKC - PG)</t>
  </si>
  <si>
    <t>Amir Coffey (LAC - PF)</t>
  </si>
  <si>
    <t>Max Strus (MIA - SF)</t>
  </si>
  <si>
    <t>Javonte Green (CHI - SG)</t>
  </si>
  <si>
    <t>Kelan Martin (IND - SF)</t>
  </si>
  <si>
    <t>Jaylen Hoard (OKC - SF)</t>
  </si>
  <si>
    <t>Tyler Cook (DET - PF)</t>
  </si>
  <si>
    <t>Rayjon Tucker (PHI - PG)</t>
  </si>
  <si>
    <t>Oshae Brissett (IND - SF)</t>
  </si>
  <si>
    <t>Vlatko Cancar (DEN - SF)</t>
  </si>
  <si>
    <t>Robert Franks Jr (ORL - SF)</t>
  </si>
  <si>
    <t>Armoni Brooks (HOU - SG)</t>
  </si>
  <si>
    <t>DaQuan Jeffries (HOU - SF)</t>
  </si>
  <si>
    <t>Donta Hall (ORL - SF)</t>
  </si>
  <si>
    <t>Jared Harper (NYK - PG)</t>
  </si>
  <si>
    <t>Jontay Porter (MEM - SF)</t>
  </si>
  <si>
    <t>Paul George (LAC - SG)</t>
  </si>
  <si>
    <t>Al-Farouq Aminu (CHI - PF)</t>
  </si>
  <si>
    <t>DeMarcus Cousins (LAC - C)</t>
  </si>
  <si>
    <t>Gordon Hayward (CHA - SF) 
OUT</t>
  </si>
  <si>
    <t>Patrick Beverley (LAC - PG) 
OUT</t>
  </si>
  <si>
    <t>Bismack Biyombo (CHA - C)</t>
  </si>
  <si>
    <t>Kawhi Leonard (LAC - SF) 
DTD</t>
  </si>
  <si>
    <t>Zeke Nnaji (DEN - PF)</t>
  </si>
  <si>
    <t>Saben Lee (DET - PG)</t>
  </si>
  <si>
    <t>Grant Riller (CHA - SG)</t>
  </si>
  <si>
    <t>Vernon Carey Jr (CHA - PF)</t>
  </si>
  <si>
    <t>Nick Richards (CHA - C)</t>
  </si>
  <si>
    <t>Daniel Oturu (LAC - C)</t>
  </si>
  <si>
    <t>Tre Jones (SAS - PG)</t>
  </si>
  <si>
    <t>Josh Green (DAL - SG)</t>
  </si>
  <si>
    <t>Tyrell Terry (DAL - PG) 
OUT</t>
  </si>
  <si>
    <t>Paul Reed (PHI - SF)</t>
  </si>
  <si>
    <t>Isaiah Joe (PHI - PG)</t>
  </si>
  <si>
    <t>Tyler Bey (DAL - SF)</t>
  </si>
  <si>
    <t>Reggie Perry (BKN - PF)</t>
  </si>
  <si>
    <t>Cassius Stanley (IND - SG)</t>
  </si>
  <si>
    <t>Jalen Harris (TOR - PG) 
DTD</t>
  </si>
  <si>
    <t>Devon Dotson (CHI - SG)</t>
  </si>
  <si>
    <t>Sean McDermott (MEM - SF)</t>
  </si>
  <si>
    <t>Markus Howard (DEN - PG)</t>
  </si>
  <si>
    <t>LaMelo Ball (CHA - PG) 
OUT</t>
  </si>
  <si>
    <t>Jay Scrubb (LAC - SG)</t>
  </si>
  <si>
    <t>Anthony Gill (WAS - PF)</t>
  </si>
  <si>
    <t>Anthony Lamb (HOU - SF)</t>
  </si>
  <si>
    <t>Killian Tillie (MEM - PF)</t>
  </si>
  <si>
    <t>Mason Jones (PHI - SG)</t>
  </si>
  <si>
    <t>Karim Mane (ORL - PG)</t>
  </si>
  <si>
    <t>Nate Darling (CHA - SG)</t>
  </si>
  <si>
    <t>Nate Hinton (DAL - SG)</t>
  </si>
  <si>
    <t>Josh Hall (OKC - SF)</t>
  </si>
  <si>
    <t>Malik Fitts (LAC - PF)</t>
  </si>
  <si>
    <t>Freddie Gillespie (TOR - PF)</t>
  </si>
  <si>
    <t>Gabriel Deck (OKC - SF) 
DTD</t>
  </si>
  <si>
    <t>Spencer Dinwiddie (BKN - SG) 
OUT</t>
  </si>
  <si>
    <t>Otto Porter Jr (ORL - SF) 
OUT</t>
  </si>
  <si>
    <t>Victor Oladipo (MIA - SG) 
OUT</t>
  </si>
  <si>
    <t>Rodney McGruder (DET - SG) 
OUT</t>
  </si>
  <si>
    <t>Gorgui Dieng (SAS - C) 
OUT</t>
  </si>
  <si>
    <t>John Henson (NYK - C) 
OUT</t>
  </si>
  <si>
    <t>Tim Frazier (MEM - PG)</t>
  </si>
  <si>
    <t>JaKarr Sampson (IND - PF)</t>
  </si>
  <si>
    <t>Dwight Powell (DAL - C)</t>
  </si>
  <si>
    <t>Chasson Randle (ORL - SG)</t>
  </si>
  <si>
    <t>Dewayne Dedmon (MIA - C)</t>
  </si>
  <si>
    <t>James Nunnally (NOR - SF)</t>
  </si>
  <si>
    <t>Tyler Johnson (BKN - PG) 
OUT</t>
  </si>
  <si>
    <t>TJ Warren (IND - SF) 
OUT</t>
  </si>
  <si>
    <t>Danuel House Jr (HOU - SF) 
OUT</t>
  </si>
  <si>
    <t>Richaun Holmes (SAC - C) 
DTD</t>
  </si>
  <si>
    <t>Ryan Arcidiacono (CHI - PG)</t>
  </si>
  <si>
    <t>Yogi Ferrell (LAC - PG)</t>
  </si>
  <si>
    <t>Fred VanVleet (TOR - SG) 
DTD</t>
  </si>
  <si>
    <t>Denzel Valentine (CHI - SF)</t>
  </si>
  <si>
    <t>Aron Baynes (TOR - C)</t>
  </si>
  <si>
    <t>Sterling Brown (HOU - SG) 
OUT</t>
  </si>
  <si>
    <t>Josh Hart (NOR - SG) 
OUT</t>
  </si>
  <si>
    <t>Sindarius Thornwell (NOR - SG)</t>
  </si>
  <si>
    <t>David Nwaba (HOU - SF) 
OUT</t>
  </si>
  <si>
    <t>DeAndre Bembry (TOR - SG) 
DTD</t>
  </si>
  <si>
    <t>Dante Exum (HOU - PG) 
OUT</t>
  </si>
  <si>
    <t>Jahlil Okafor (DET - C)</t>
  </si>
  <si>
    <t>Justise Winslow (MEM - SF) 
OUT</t>
  </si>
  <si>
    <t>Kelly Oubre Jr (GSW - SF) 
DTD</t>
  </si>
  <si>
    <t>DJ Wilson (HOU - PF)</t>
  </si>
  <si>
    <t>Trey Lyles (SAS - PF) 
OUT</t>
  </si>
  <si>
    <t>Willy Hernangomez (NOR - C)</t>
  </si>
  <si>
    <t>Cristiano Felicio (CHI - C)</t>
  </si>
  <si>
    <t>Boban Marjanovic (DAL - C)</t>
  </si>
  <si>
    <t>Jamal Murray (DEN - PG) 
Out</t>
  </si>
  <si>
    <t>Thomas Bryant (WAS - C) 
Out</t>
  </si>
  <si>
    <t>Markelle Fultz (ORL - PG) 
OUT</t>
  </si>
  <si>
    <t>Lonzo Ball (NOR - PG) 
DTD</t>
  </si>
  <si>
    <t>Jonathan Isaac (ORL - SF) 
OUT</t>
  </si>
  <si>
    <t>Frank Ntilikina (NYK - PG)</t>
  </si>
  <si>
    <t>Dennis Smith Jr (DET - PG) 
OUT</t>
  </si>
  <si>
    <t>Malik Monk (CHA - SG) 
OUT</t>
  </si>
  <si>
    <t>Shaquille Harrison (DEN - PG) 
OUT</t>
  </si>
  <si>
    <t>Troy Brown Jr (CHI - SF)</t>
  </si>
  <si>
    <t>Kevin Knox II (NYK - SF)</t>
  </si>
  <si>
    <t>Jaren Jackson Jr (MEM - PF) 
OUT</t>
  </si>
  <si>
    <t>Keita Bates-Diop (SAS - SF)</t>
  </si>
  <si>
    <t>Bruce Brown (BKN - SG)</t>
  </si>
  <si>
    <t>Gary Trent Jr (TOR - SG)</t>
  </si>
  <si>
    <t>DeAnthony Melton (MEM - SG) 
OUT</t>
  </si>
  <si>
    <t>Mitchell Robinson (NYK - C) 
OUT</t>
  </si>
  <si>
    <t>Aaron Holiday (IND - SG)</t>
  </si>
  <si>
    <t>Isaac Bonga (WAS - PF)</t>
  </si>
  <si>
    <t>Yuta Watanabe (TOR - SG)</t>
  </si>
  <si>
    <t>Wenyen Gabriel (NOR - PF)</t>
  </si>
  <si>
    <t>Theo Pinson (NYK - SG)</t>
  </si>
  <si>
    <t>Al Horford (OKC - PF)</t>
  </si>
  <si>
    <t>DJ Augustin (HOU - PG) 
OUT</t>
  </si>
  <si>
    <t>Kyle Lowry (TOR - PG)</t>
  </si>
  <si>
    <t>Eric Gordon (HOU - SF) 
OUT</t>
  </si>
  <si>
    <t>Blake Griffin (BKN - PF)</t>
  </si>
  <si>
    <t>Udonis Haslem (MIA - PF)</t>
  </si>
  <si>
    <t>James Harden (BKN - SG) 
OUT</t>
  </si>
  <si>
    <t>Kevin Durant (BKN - SF)</t>
  </si>
  <si>
    <t>Norvel Pelle Jr (NYK - PF)</t>
  </si>
  <si>
    <t>LaMarcus Aldridge (BKN - C) 
DTD</t>
  </si>
  <si>
    <t>Chris Chiozza (BKN - PG) 
DTD</t>
  </si>
  <si>
    <t>George Hill (PHI - PG) 
OUT</t>
  </si>
  <si>
    <t>JaVale McGee (DEN - C)</t>
  </si>
  <si>
    <t>Anthony Tolliver (PHI - PF)</t>
  </si>
  <si>
    <t>Serge Ibaka (LAC - PF) 
OUT</t>
  </si>
  <si>
    <t>Do Not Sell My Personal Information</t>
  </si>
  <si>
    <t>numfire</t>
  </si>
  <si>
    <t>fpros</t>
  </si>
  <si>
    <t>final</t>
  </si>
  <si>
    <t>Usage</t>
  </si>
  <si>
    <t>Anzejs Pasecniks</t>
  </si>
  <si>
    <t>Joel Embiid</t>
  </si>
  <si>
    <t>Luka Doncic</t>
  </si>
  <si>
    <t>Devin Booker</t>
  </si>
  <si>
    <t>Kevin Durant</t>
  </si>
  <si>
    <t>LeBron James</t>
  </si>
  <si>
    <t>DeAaron Fox</t>
  </si>
  <si>
    <t>Zach LaVine</t>
  </si>
  <si>
    <t>Kyrie Irving</t>
  </si>
  <si>
    <t>Jayson Tatum</t>
  </si>
  <si>
    <t>Paul George</t>
  </si>
  <si>
    <t>Nikola Vucevic</t>
  </si>
  <si>
    <t>Nikola Jokic</t>
  </si>
  <si>
    <t>Anthony Davis</t>
  </si>
  <si>
    <t>Jaylen Brown</t>
  </si>
  <si>
    <t>DAngelo Russell</t>
  </si>
  <si>
    <t>Karl-Anthony Towns</t>
  </si>
  <si>
    <t>James Harden</t>
  </si>
  <si>
    <t>Victor Oladipo</t>
  </si>
  <si>
    <t>Kawhi Leonard</t>
  </si>
  <si>
    <t>Shai Gilgeous-Alexander</t>
  </si>
  <si>
    <t>Julius Randle</t>
  </si>
  <si>
    <t>Jerami Grant</t>
  </si>
  <si>
    <t>Isaiah Thomas</t>
  </si>
  <si>
    <t>Andre Drummond</t>
  </si>
  <si>
    <t>Anthony Edwards</t>
  </si>
  <si>
    <t>Jalen Lecque</t>
  </si>
  <si>
    <t>Pascal Siakam</t>
  </si>
  <si>
    <t>Kristaps Porzingis</t>
  </si>
  <si>
    <t>Jimmy Butler</t>
  </si>
  <si>
    <t>Kemba Walker</t>
  </si>
  <si>
    <t>Josh Jackson</t>
  </si>
  <si>
    <t>Derrick Rose</t>
  </si>
  <si>
    <t>Markelle Fultz</t>
  </si>
  <si>
    <t>Marquese Chriss</t>
  </si>
  <si>
    <t>LaMelo Ball</t>
  </si>
  <si>
    <t>Immanuel Quickley</t>
  </si>
  <si>
    <t>Markus Howard</t>
  </si>
  <si>
    <t>Jamal Murray</t>
  </si>
  <si>
    <t>Robert Woodard II</t>
  </si>
  <si>
    <t>Terry Rozier</t>
  </si>
  <si>
    <t>Shake Milton</t>
  </si>
  <si>
    <t>DeMarcus Cousins</t>
  </si>
  <si>
    <t>Fred VanVleet</t>
  </si>
  <si>
    <t>Goran Dragic</t>
  </si>
  <si>
    <t>Grant Riller</t>
  </si>
  <si>
    <t>Tobias Harris</t>
  </si>
  <si>
    <t>Malik Beasley</t>
  </si>
  <si>
    <t>Gordon Hayward</t>
  </si>
  <si>
    <t>Bam Adebayo</t>
  </si>
  <si>
    <t>JaVale McGee</t>
  </si>
  <si>
    <t>Bruno Caboclo</t>
  </si>
  <si>
    <t>Terrence Ross</t>
  </si>
  <si>
    <t>Boban Marjanovic</t>
  </si>
  <si>
    <t>Tim Hardaway</t>
  </si>
  <si>
    <t>Marvin Bagley</t>
  </si>
  <si>
    <t>Malik Monk</t>
  </si>
  <si>
    <t>RJ Barrett</t>
  </si>
  <si>
    <t>Dennis Schroder</t>
  </si>
  <si>
    <t>Cole Anthony</t>
  </si>
  <si>
    <t>Hassan Whiteside</t>
  </si>
  <si>
    <t>Elfrid Payton</t>
  </si>
  <si>
    <t>LaMarcus Aldridge</t>
  </si>
  <si>
    <t>Tyler Herro</t>
  </si>
  <si>
    <t>Coby White</t>
  </si>
  <si>
    <t>Evan Fournier</t>
  </si>
  <si>
    <t>Al Horford</t>
  </si>
  <si>
    <t>Chris Paul</t>
  </si>
  <si>
    <t>Mike James</t>
  </si>
  <si>
    <t>Tyrese Maxey</t>
  </si>
  <si>
    <t>Luguentz Dort</t>
  </si>
  <si>
    <t>Naz Reid</t>
  </si>
  <si>
    <t>Mason Jones</t>
  </si>
  <si>
    <t>Noah Vonleh</t>
  </si>
  <si>
    <t>Hamidou Diallo</t>
  </si>
  <si>
    <t>Dario Saric</t>
  </si>
  <si>
    <t>Darius Bazley</t>
  </si>
  <si>
    <t>Thaddeus Young</t>
  </si>
  <si>
    <t>Michael Porter</t>
  </si>
  <si>
    <t>Devonte Graham</t>
  </si>
  <si>
    <t>Talen Horton-Tucker</t>
  </si>
  <si>
    <t>Montrezl Harrell</t>
  </si>
  <si>
    <t>Kyle Lowry</t>
  </si>
  <si>
    <t>Terence Davis</t>
  </si>
  <si>
    <t>Yogi Ferrell</t>
  </si>
  <si>
    <t>Frank Jackson</t>
  </si>
  <si>
    <t>Mo Bamba</t>
  </si>
  <si>
    <t>Aaron Gordon</t>
  </si>
  <si>
    <t>Kendrick Nunn</t>
  </si>
  <si>
    <t>Jaylen Nowell</t>
  </si>
  <si>
    <t>Alec Burks</t>
  </si>
  <si>
    <t>Quinn Cook</t>
  </si>
  <si>
    <t>Gary Trent</t>
  </si>
  <si>
    <t>Chris Boucher</t>
  </si>
  <si>
    <t>Nate Hinton</t>
  </si>
  <si>
    <t>Lonnie Walker IV</t>
  </si>
  <si>
    <t>Ben Simmons</t>
  </si>
  <si>
    <t>Jared Harper</t>
  </si>
  <si>
    <t>Will Magnay</t>
  </si>
  <si>
    <t>Chris Chiozza</t>
  </si>
  <si>
    <t>Buddy Hield</t>
  </si>
  <si>
    <t>Kyle Kuzma</t>
  </si>
  <si>
    <t>Chimezie Metu</t>
  </si>
  <si>
    <t>Michael Carter-Williams</t>
  </si>
  <si>
    <t>Serge Ibaka</t>
  </si>
  <si>
    <t>Lauri Markkanen</t>
  </si>
  <si>
    <t>Ben McLemore</t>
  </si>
  <si>
    <t>Jalen Brunson</t>
  </si>
  <si>
    <t>Furkan Korkmaz</t>
  </si>
  <si>
    <t>Trey Burke</t>
  </si>
  <si>
    <t>Aleksej Pokusevski</t>
  </si>
  <si>
    <t>Vincent Poirier</t>
  </si>
  <si>
    <t>Reggie Jackson</t>
  </si>
  <si>
    <t>Mike Muscala</t>
  </si>
  <si>
    <t>Marcus Morris</t>
  </si>
  <si>
    <t>Dwayne Bacon</t>
  </si>
  <si>
    <t>OG Anunoby</t>
  </si>
  <si>
    <t>Tremont Waters</t>
  </si>
  <si>
    <t>Paul Reed</t>
  </si>
  <si>
    <t>PJ Washington</t>
  </si>
  <si>
    <t>Reggie Perry</t>
  </si>
  <si>
    <t>Cameron Payne</t>
  </si>
  <si>
    <t>Dennis Smith</t>
  </si>
  <si>
    <t>Denzel Valentine</t>
  </si>
  <si>
    <t>Bol Bol</t>
  </si>
  <si>
    <t>Blake Griffin</t>
  </si>
  <si>
    <t>Killian Hayes</t>
  </si>
  <si>
    <t>Wendell Carter</t>
  </si>
  <si>
    <t>Carsen Edwards</t>
  </si>
  <si>
    <t>Svi Mykhailiuk</t>
  </si>
  <si>
    <t>Will Barton</t>
  </si>
  <si>
    <t>Theo Maledon</t>
  </si>
  <si>
    <t>Frank Kaminsky</t>
  </si>
  <si>
    <t>Iman Shumpert</t>
  </si>
  <si>
    <t>RJ Hampton</t>
  </si>
  <si>
    <t>Jahmius Ramsey</t>
  </si>
  <si>
    <t>Otto Porter</t>
  </si>
  <si>
    <t>Dewayne Dedmon</t>
  </si>
  <si>
    <t>Gabe Vincent</t>
  </si>
  <si>
    <t>JJ Redick</t>
  </si>
  <si>
    <t>Kyle Guy</t>
  </si>
  <si>
    <t>Abdel Nader</t>
  </si>
  <si>
    <t>Moritz Wagner</t>
  </si>
  <si>
    <t>Precious Achiuwa</t>
  </si>
  <si>
    <t>Ty Jerome</t>
  </si>
  <si>
    <t>Devin Cannady</t>
  </si>
  <si>
    <t>Paul Millsap</t>
  </si>
  <si>
    <t>Cody Zeller</t>
  </si>
  <si>
    <t>Deandre Ayton</t>
  </si>
  <si>
    <t>Marcus Smart</t>
  </si>
  <si>
    <t>Josh Richardson</t>
  </si>
  <si>
    <t>Jarrett Culver</t>
  </si>
  <si>
    <t>Jalen Smith</t>
  </si>
  <si>
    <t>Saddiq Bey</t>
  </si>
  <si>
    <t>Rodney McGruder</t>
  </si>
  <si>
    <t>Nemanja Bjelica</t>
  </si>
  <si>
    <t>Jaylen Adams</t>
  </si>
  <si>
    <t>Jalen Harris</t>
  </si>
  <si>
    <t>Vernon Carey</t>
  </si>
  <si>
    <t>Tyrese Haliburton</t>
  </si>
  <si>
    <t>Dwight Howard</t>
  </si>
  <si>
    <t>Alize Johnson</t>
  </si>
  <si>
    <t>Max Strus</t>
  </si>
  <si>
    <t>Sekou Doumbouya</t>
  </si>
  <si>
    <t>Malachi Flynn</t>
  </si>
  <si>
    <t>Richaun Holmes</t>
  </si>
  <si>
    <t>JaMychal Green</t>
  </si>
  <si>
    <t>Jalen McDaniels</t>
  </si>
  <si>
    <t>Kostas Antetokounmpo</t>
  </si>
  <si>
    <t>Saben Lee</t>
  </si>
  <si>
    <t>Isaiah Roby</t>
  </si>
  <si>
    <t>Rayjon Tucker</t>
  </si>
  <si>
    <t>Frank Mason</t>
  </si>
  <si>
    <t>Seth Curry</t>
  </si>
  <si>
    <t>Juancho Hernangomez</t>
  </si>
  <si>
    <t>Harrison Barnes</t>
  </si>
  <si>
    <t>Jaylen Hoard</t>
  </si>
  <si>
    <t>Jahlil Okafor</t>
  </si>
  <si>
    <t>Miles Bridges</t>
  </si>
  <si>
    <t>Adam Mokoka</t>
  </si>
  <si>
    <t>Henry Ellenson</t>
  </si>
  <si>
    <t>Ignas Brazdeikis</t>
  </si>
  <si>
    <t>Jabari Parker</t>
  </si>
  <si>
    <t>Landry Shamet</t>
  </si>
  <si>
    <t>Dakota Mathias</t>
  </si>
  <si>
    <t>PJ Dozier</t>
  </si>
  <si>
    <t>Brad Wanamaker</t>
  </si>
  <si>
    <t>Rajon Rondo</t>
  </si>
  <si>
    <t>Timothe Luwawu-Cabarrot</t>
  </si>
  <si>
    <t>Luke Kennard</t>
  </si>
  <si>
    <t>Cameron Johnson</t>
  </si>
  <si>
    <t>George Hill</t>
  </si>
  <si>
    <t>Caleb Martin</t>
  </si>
  <si>
    <t>Josh Hall</t>
  </si>
  <si>
    <t>Mason Plumlee</t>
  </si>
  <si>
    <t>Delon Wright</t>
  </si>
  <si>
    <t>Wayne Ellington</t>
  </si>
  <si>
    <t>Jerome Robinson</t>
  </si>
  <si>
    <t>Duncan Robinson</t>
  </si>
  <si>
    <t>Gary Harris</t>
  </si>
  <si>
    <t>Alfonzo McKinnie</t>
  </si>
  <si>
    <t>Justin James</t>
  </si>
  <si>
    <t>Payton Pritchard</t>
  </si>
  <si>
    <t>Langston Galloway</t>
  </si>
  <si>
    <t>Obi Toppin</t>
  </si>
  <si>
    <t>Markieff Morris</t>
  </si>
  <si>
    <t>Cory Joseph</t>
  </si>
  <si>
    <t>Monte Morris</t>
  </si>
  <si>
    <t>Ray Spalding</t>
  </si>
  <si>
    <t>Aron Baynes</t>
  </si>
  <si>
    <t>Tyler Bey</t>
  </si>
  <si>
    <t>Joe Harris</t>
  </si>
  <si>
    <t>ETwaun Moore</t>
  </si>
  <si>
    <t>Isaiah Joe</t>
  </si>
  <si>
    <t>Ricky Rubio</t>
  </si>
  <si>
    <t>Moses Brown</t>
  </si>
  <si>
    <t>Bruce Brown</t>
  </si>
  <si>
    <t>Daniel Theis</t>
  </si>
  <si>
    <t>Devontae Cacok</t>
  </si>
  <si>
    <t>Gabriel Deck</t>
  </si>
  <si>
    <t>Spencer Dinwiddie</t>
  </si>
  <si>
    <t>Gary Payton</t>
  </si>
  <si>
    <t>Jae Crowder</t>
  </si>
  <si>
    <t>Daniel Oturu</t>
  </si>
  <si>
    <t>Tony Bradley</t>
  </si>
  <si>
    <t>Kevin Knox</t>
  </si>
  <si>
    <t>Meyers Leonard</t>
  </si>
  <si>
    <t>Chris Silva</t>
  </si>
  <si>
    <t>Austin Rivers</t>
  </si>
  <si>
    <t>Jeff Green</t>
  </si>
  <si>
    <t>Chasson Randle</t>
  </si>
  <si>
    <t>Trevor Ariza</t>
  </si>
  <si>
    <t>Tomas Satoransky</t>
  </si>
  <si>
    <t>Isaiah Stewart</t>
  </si>
  <si>
    <t>Jake Layman</t>
  </si>
  <si>
    <t>Robert Franks</t>
  </si>
  <si>
    <t>Ivica Zubac</t>
  </si>
  <si>
    <t>Mikal Bridges</t>
  </si>
  <si>
    <t>Kenrich Williams</t>
  </si>
  <si>
    <t>Patrick Beverley</t>
  </si>
  <si>
    <t>Tristan Thompson</t>
  </si>
  <si>
    <t>Amir Coffey</t>
  </si>
  <si>
    <t>Thon Maker</t>
  </si>
  <si>
    <t>Rodions Kurucs</t>
  </si>
  <si>
    <t>Robert Williams</t>
  </si>
  <si>
    <t>Patrick Williams</t>
  </si>
  <si>
    <t>Jordan Bell</t>
  </si>
  <si>
    <t>Louis King</t>
  </si>
  <si>
    <t>Ty-Shon Alexander</t>
  </si>
  <si>
    <t>Alex Caruso</t>
  </si>
  <si>
    <t>Terance Mann</t>
  </si>
  <si>
    <t>Charlie Brown</t>
  </si>
  <si>
    <t>Chuma Okeke</t>
  </si>
  <si>
    <t>Jevon Carter</t>
  </si>
  <si>
    <t>Torrey Craig</t>
  </si>
  <si>
    <t>Reggie Bullock</t>
  </si>
  <si>
    <t>Troy Brown</t>
  </si>
  <si>
    <t>Kentavious Caldwell-Pope</t>
  </si>
  <si>
    <t>Deividas Sirvydis</t>
  </si>
  <si>
    <t>Rodney Hood</t>
  </si>
  <si>
    <t>Devon Dotson</t>
  </si>
  <si>
    <t>Al-Farouq Aminu</t>
  </si>
  <si>
    <t>Patrick Patterson</t>
  </si>
  <si>
    <t>Frank Ntilikina</t>
  </si>
  <si>
    <t>Danny Green</t>
  </si>
  <si>
    <t>James Ennis III</t>
  </si>
  <si>
    <t>Tacko Fall</t>
  </si>
  <si>
    <t>Marques Bolden</t>
  </si>
  <si>
    <t>Tyler Cook</t>
  </si>
  <si>
    <t>DeAndre Bembry</t>
  </si>
  <si>
    <t>Luke Kornet</t>
  </si>
  <si>
    <t>Tyrell Terry</t>
  </si>
  <si>
    <t>Glenn Robinson III</t>
  </si>
  <si>
    <t>Freddie Gillespie</t>
  </si>
  <si>
    <t>Paul Watson</t>
  </si>
  <si>
    <t>Dwight Powell</t>
  </si>
  <si>
    <t>Nicolas Claxton</t>
  </si>
  <si>
    <t>Cameron Reynolds</t>
  </si>
  <si>
    <t>Nate Darling</t>
  </si>
  <si>
    <t>Tyler Johnson</t>
  </si>
  <si>
    <t>Shaquille Harrison</t>
  </si>
  <si>
    <t>Aaron Nesmith</t>
  </si>
  <si>
    <t>Jordan McLaughlin</t>
  </si>
  <si>
    <t>Vlatko Cancar</t>
  </si>
  <si>
    <t>Khem Birch</t>
  </si>
  <si>
    <t>DeAndre Jordan</t>
  </si>
  <si>
    <t>Garrett Temple</t>
  </si>
  <si>
    <t>Justin Patton</t>
  </si>
  <si>
    <t>Facundo Campazzo</t>
  </si>
  <si>
    <t>Darius Miller</t>
  </si>
  <si>
    <t>Zeke Nnaji</t>
  </si>
  <si>
    <t>Ryan Arcidiacono</t>
  </si>
  <si>
    <t>Cody Martin</t>
  </si>
  <si>
    <t>Javonte Green</t>
  </si>
  <si>
    <t>Jordan Bone</t>
  </si>
  <si>
    <t>Sindarius Thornwell</t>
  </si>
  <si>
    <t>Marc Gasol</t>
  </si>
  <si>
    <t>Malik Fitts</t>
  </si>
  <si>
    <t>Dorian Finney-Smith</t>
  </si>
  <si>
    <t>Josh Okogie</t>
  </si>
  <si>
    <t>Willie Cauley-Stein</t>
  </si>
  <si>
    <t>Jarred Vanderbilt</t>
  </si>
  <si>
    <t>Grant Williams</t>
  </si>
  <si>
    <t>Jaden McDaniels</t>
  </si>
  <si>
    <t>Yuta Watanabe</t>
  </si>
  <si>
    <t>Theo Pinson</t>
  </si>
  <si>
    <t>Nicolo Melli</t>
  </si>
  <si>
    <t>Andre Roberson</t>
  </si>
  <si>
    <t>Nicolas Batum</t>
  </si>
  <si>
    <t>Mike Scott</t>
  </si>
  <si>
    <t>Semi Ojeleye</t>
  </si>
  <si>
    <t>Mitchell Robinson</t>
  </si>
  <si>
    <t>KZ Okpala</t>
  </si>
  <si>
    <t>Damian Jones</t>
  </si>
  <si>
    <t>Stanley Johnson</t>
  </si>
  <si>
    <t>Nick Richards</t>
  </si>
  <si>
    <t>Maurice Harkless</t>
  </si>
  <si>
    <t>Justin Robinson</t>
  </si>
  <si>
    <t>Bismack Biyombo</t>
  </si>
  <si>
    <t>Andre Iguodala</t>
  </si>
  <si>
    <t>Josh Green</t>
  </si>
  <si>
    <t>Wesley Matthews</t>
  </si>
  <si>
    <t>Donta Hall</t>
  </si>
  <si>
    <t>Norvel Pelle</t>
  </si>
  <si>
    <t>Greg Whittington</t>
  </si>
  <si>
    <t>Maxi Kleber</t>
  </si>
  <si>
    <t>Cristiano Felicio</t>
  </si>
  <si>
    <t>Gary Clark</t>
  </si>
  <si>
    <t>Brian Bowen II</t>
  </si>
  <si>
    <t>Romeo Langford</t>
  </si>
  <si>
    <t>Taj Gibson</t>
  </si>
  <si>
    <t>Nerlens Noel</t>
  </si>
  <si>
    <t>Terrance Ferguson</t>
  </si>
  <si>
    <t>Matisse Thybulle</t>
  </si>
  <si>
    <t>Anthony Tolliver</t>
  </si>
  <si>
    <t>Karim Mane</t>
  </si>
  <si>
    <t>Ashton Hagans</t>
  </si>
  <si>
    <t>Ed Davis</t>
  </si>
  <si>
    <t>Jared Dudley</t>
  </si>
  <si>
    <t>Patrick McCaw</t>
  </si>
  <si>
    <t>PLAYER</t>
  </si>
  <si>
    <t>PLAYER TYPE</t>
  </si>
  <si>
    <t>Combo Guard</t>
  </si>
  <si>
    <t>Distributor</t>
  </si>
  <si>
    <t>Shooting Wing</t>
  </si>
  <si>
    <t>Versatile Forward</t>
  </si>
  <si>
    <t>Versatile Big</t>
  </si>
  <si>
    <t>Scoring Wing</t>
  </si>
  <si>
    <t>Post Big</t>
  </si>
  <si>
    <t>3 and D Wing</t>
  </si>
  <si>
    <t>Xavier Tillman Sr</t>
  </si>
  <si>
    <t>James Ennis</t>
  </si>
  <si>
    <t>Devonte' Graham</t>
  </si>
  <si>
    <t>P.J. Dozier</t>
  </si>
  <si>
    <t>Wendell Carter Jr.</t>
  </si>
  <si>
    <t>Otto Porter Jr.</t>
  </si>
  <si>
    <t>De'Andre Hunter</t>
  </si>
  <si>
    <t>Cam Johnson</t>
  </si>
  <si>
    <t>Derrick Jones Jr</t>
  </si>
  <si>
    <t>Kevin Porter Jr</t>
  </si>
  <si>
    <t>Danuel House Jr</t>
  </si>
  <si>
    <t>Tim Hardaway Jr</t>
  </si>
  <si>
    <t>Robert Williams III</t>
  </si>
  <si>
    <t>Gary Trent Jr</t>
  </si>
  <si>
    <t>Jermey Lamb</t>
  </si>
  <si>
    <t>Wendell Carter Jr</t>
  </si>
  <si>
    <t>Otto Porter Jr</t>
  </si>
  <si>
    <t>Kira Lewis Jr</t>
  </si>
  <si>
    <t>Michael Porter Jr</t>
  </si>
  <si>
    <t xml:space="preserve">Team 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</si>
  <si>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</si>
  <si>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</si>
  <si>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</si>
  <si>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</si>
  <si>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</si>
  <si>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</si>
  <si>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</si>
  <si>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</si>
  <si>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</si>
  <si>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</si>
  <si>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</si>
  <si>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</si>
  <si>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</si>
  <si>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</si>
  <si>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</si>
  <si>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</si>
  <si>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</si>
  <si>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</si>
  <si>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</si>
  <si>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</si>
  <si>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</si>
  <si>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</si>
  <si>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</si>
  <si>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</si>
  <si>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</si>
  <si>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</si>
  <si>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</si>
  <si>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</si>
  <si>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</si>
  <si>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</si>
  <si>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Stats</t>
  </si>
  <si>
    <t>GP</t>
  </si>
  <si>
    <t>REB</t>
  </si>
  <si>
    <t>AST</t>
  </si>
  <si>
    <t>STL</t>
  </si>
  <si>
    <t>BLK</t>
  </si>
  <si>
    <t>TO</t>
  </si>
  <si>
    <t>PTS</t>
  </si>
  <si>
    <t>PACE</t>
  </si>
  <si>
    <t>USG</t>
  </si>
  <si>
    <t>Points</t>
  </si>
  <si>
    <t>FPTS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</si>
</sst>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</font>
    <font/>
    <font>
      <color theme="1"/>
      <name val="Arial"/>
    </font>
    <font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BAF43"/>
        <bgColor rgb="FFFBAF43"/>
      </patternFill>
    </fill>
    <fill>
      <patternFill patternType="solid">
        <fgColor rgb="FFFED08B"/>
        <bgColor rgb="FFFED08B"/>
      </patternFill>
    </fill>
    <fill>
      <patternFill patternType="solid">
        <fgColor rgb="FF77B2F7"/>
        <bgColor rgb="FF77B2F7"/>
      </patternFill>
    </fill>
    <fill>
      <patternFill patternType="solid">
        <fgColor rgb="FFB4D3F8"/>
        <bgColor rgb="FFB4D3F8"/>
      </patternFill>
    </fill>
    <fill>
      <patternFill patternType="solid">
        <fgColor rgb="FFDAEBFE"/>
        <bgColor rgb="FFDAEBF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" xfId="0" applyAlignment="1" applyFont="1" applyNumberFormat="1">
      <alignment horizontal="center" readingOrder="0" vertical="bottom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3" fontId="2" numFmtId="0" xfId="0" applyAlignment="1" applyFill="1" applyFont="1">
      <alignment readingOrder="0"/>
    </xf>
    <xf borderId="0" fillId="2" fontId="2" numFmtId="165" xfId="0" applyAlignment="1" applyFont="1" applyNumberFormat="1">
      <alignment readingOrder="0"/>
    </xf>
    <xf borderId="0" fillId="4" fontId="2" numFmtId="165" xfId="0" applyAlignment="1" applyFill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4" fontId="2" numFmtId="165" xfId="0" applyFont="1" applyNumberFormat="1"/>
    <xf borderId="0" fillId="5" fontId="2" numFmtId="0" xfId="0" applyAlignment="1" applyFill="1" applyFont="1">
      <alignment readingOrder="0"/>
    </xf>
    <xf borderId="0" fillId="5" fontId="2" numFmtId="165" xfId="0" applyFont="1" applyNumberFormat="1"/>
    <xf borderId="0" fillId="4" fontId="2" numFmtId="0" xfId="0" applyAlignment="1" applyFont="1">
      <alignment readingOrder="0"/>
    </xf>
    <xf borderId="0" fillId="0" fontId="2" numFmtId="165" xfId="0" applyFont="1" applyNumberFormat="1"/>
    <xf borderId="0" fillId="2" fontId="2" numFmtId="165" xfId="0" applyFont="1" applyNumberFormat="1"/>
    <xf borderId="0" fillId="3" fontId="2" numFmtId="165" xfId="0" applyFont="1" applyNumberFormat="1"/>
    <xf borderId="0" fillId="5" fontId="2" numFmtId="165" xfId="0" applyAlignment="1" applyFont="1" applyNumberFormat="1">
      <alignment readingOrder="0"/>
    </xf>
    <xf borderId="0" fillId="6" fontId="2" numFmtId="165" xfId="0" applyAlignment="1" applyFill="1" applyFont="1" applyNumberFormat="1">
      <alignment readingOrder="0"/>
    </xf>
    <xf borderId="0" fillId="2" fontId="2" numFmtId="0" xfId="0" applyFont="1"/>
    <xf borderId="0" fillId="2" fontId="2" numFmtId="0" xfId="0" applyFont="1"/>
    <xf borderId="0" fillId="3" fontId="2" numFmtId="0" xfId="0" applyFont="1"/>
    <xf borderId="0" fillId="5" fontId="2" numFmtId="0" xfId="0" applyFont="1"/>
    <xf borderId="0" fillId="5" fontId="2" numFmtId="0" xfId="0" applyFont="1"/>
    <xf borderId="0" fillId="6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right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10"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5.71"/>
    <col customWidth="1" min="3" max="3" width="16.14"/>
    <col customWidth="1" min="4" max="5" width="11.14"/>
    <col customWidth="1" min="6" max="6" width="11.86"/>
    <col customWidth="1" min="7" max="7" width="12.43"/>
    <col customWidth="1" min="8" max="8" width="14.0"/>
    <col customWidth="1" min="9" max="9" width="13.57"/>
    <col customWidth="1" min="10" max="10" width="14.71"/>
    <col customWidth="1" min="11" max="11" width="20.57"/>
    <col customWidth="1" min="12" max="12" width="2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12</v>
      </c>
      <c r="B2" s="1" t="s">
        <v>13</v>
      </c>
      <c r="C2" s="2">
        <v>12400.0</v>
      </c>
      <c r="D2" s="1" t="s">
        <v>14</v>
      </c>
      <c r="E2" s="1" t="s">
        <v>15</v>
      </c>
      <c r="F2" s="7">
        <f>iferror(VLOOKUP(B2,projections!A:B,2,false), "NOT ACTIVE")</f>
        <v>62.3</v>
      </c>
      <c r="G2" s="8">
        <f t="shared" ref="G2:G368" si="1">Iferror(F2/(C2/1000), "NOT ACTIVE")</f>
        <v>5.024193548</v>
      </c>
      <c r="H2" s="6">
        <f>iferror(VLOOKUP(B2,usage!A:B,2,false), "NOT ACTIVE")</f>
        <v>29.6</v>
      </c>
      <c r="I2" s="6">
        <f t="array" ref="I2">INDEX(DvP!$B$2:$F$31,MATCH($E2,DvP!$A$2:$A$31,0),MATCH($A2,DvP!$B$1:$F$1,0))</f>
        <v>49.13</v>
      </c>
      <c r="J2" s="8">
        <f t="array" ref="J2">INDEX(DvA!$B$2:$I$31,MATCH($E2,DvA!$A$2:$A$31,0),MATCH($K2,DvA!$B$1:$I$1,0))</f>
        <v>41.1</v>
      </c>
      <c r="K2" s="8" t="str">
        <f>VLOOKUP(B2,archtypes!A:B,2,false)</f>
        <v>Combo Guard</v>
      </c>
      <c r="L2" s="8">
        <f t="shared" ref="L2:L368" si="2">(C2/1000)*5</f>
        <v>62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16</v>
      </c>
      <c r="B3" s="1" t="s">
        <v>17</v>
      </c>
      <c r="C3" s="2">
        <v>11300.0</v>
      </c>
      <c r="D3" s="1" t="s">
        <v>18</v>
      </c>
      <c r="E3" s="1" t="s">
        <v>19</v>
      </c>
      <c r="F3" s="7">
        <f>iferror(VLOOKUP(B3,projections!A:B,2,false), "NOT ACTIVE")</f>
        <v>53.9</v>
      </c>
      <c r="G3" s="8">
        <f t="shared" si="1"/>
        <v>4.769911504</v>
      </c>
      <c r="H3" s="6">
        <f>iferror(VLOOKUP(B3,usage!A:B,2,false), "NOT ACTIVE")</f>
        <v>32.3</v>
      </c>
      <c r="I3" s="6">
        <f t="array" ref="I3">INDEX(DvP!$B$2:$F$31,MATCH($E3,DvP!$A$2:$A$31,0),MATCH($A3,DvP!$B$1:$F$1,0))</f>
        <v>44.43</v>
      </c>
      <c r="J3" s="8">
        <f t="array" ref="J3">INDEX(DvA!$B$2:$I$31,MATCH($E3,DvA!$A$2:$A$31,0),MATCH($K3,DvA!$B$1:$I$1,0))</f>
        <v>27.63</v>
      </c>
      <c r="K3" s="8" t="str">
        <f>VLOOKUP(B3,archtypes!A:B,2,false)</f>
        <v>Versatile Forward</v>
      </c>
      <c r="L3" s="8">
        <f t="shared" si="2"/>
        <v>56.5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16</v>
      </c>
      <c r="B4" s="1" t="s">
        <v>20</v>
      </c>
      <c r="C4" s="2">
        <v>10700.0</v>
      </c>
      <c r="D4" s="1" t="s">
        <v>21</v>
      </c>
      <c r="E4" s="1" t="s">
        <v>22</v>
      </c>
      <c r="F4" s="7">
        <f>iferror(VLOOKUP(B4,projections!A:B,2,false), "NOT ACTIVE")</f>
        <v>44.9</v>
      </c>
      <c r="G4" s="8">
        <f t="shared" si="1"/>
        <v>4.196261682</v>
      </c>
      <c r="H4" s="6">
        <f>iferror(VLOOKUP(B4,usage!A:B,2,false), "NOT ACTIVE")</f>
        <v>24</v>
      </c>
      <c r="I4" s="6">
        <f t="array" ref="I4">INDEX(DvP!$B$2:$F$31,MATCH($E4,DvP!$A$2:$A$31,0),MATCH($A4,DvP!$B$1:$F$1,0))</f>
        <v>44.26</v>
      </c>
      <c r="J4" s="8">
        <f t="array" ref="J4">INDEX(DvA!$B$2:$I$31,MATCH($E4,DvA!$A$2:$A$31,0),MATCH($K4,DvA!$B$1:$I$1,0))</f>
        <v>35.68</v>
      </c>
      <c r="K4" s="8" t="str">
        <f>VLOOKUP(B4,archtypes!A:B,2,false)</f>
        <v>Post Big</v>
      </c>
      <c r="L4" s="8">
        <f t="shared" si="2"/>
        <v>53.5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12</v>
      </c>
      <c r="B5" s="1" t="s">
        <v>23</v>
      </c>
      <c r="C5" s="2">
        <v>10300.0</v>
      </c>
      <c r="D5" s="1" t="s">
        <v>24</v>
      </c>
      <c r="E5" s="1" t="s">
        <v>25</v>
      </c>
      <c r="F5" s="7">
        <f>iferror(VLOOKUP(B5,projections!A:B,2,false), "NOT ACTIVE")</f>
        <v>50.7</v>
      </c>
      <c r="G5" s="8">
        <f t="shared" si="1"/>
        <v>4.922330097</v>
      </c>
      <c r="H5" s="6">
        <f>iferror(VLOOKUP(B5,usage!A:B,2,false), "NOT ACTIVE")</f>
        <v>32.8</v>
      </c>
      <c r="I5" s="6">
        <f t="array" ref="I5">INDEX(DvP!$B$2:$F$31,MATCH($E5,DvP!$A$2:$A$31,0),MATCH($A5,DvP!$B$1:$F$1,0))</f>
        <v>40.5</v>
      </c>
      <c r="J5" s="8">
        <f t="array" ref="J5">INDEX(DvA!$B$2:$I$31,MATCH($E5,DvA!$A$2:$A$31,0),MATCH($K5,DvA!$B$1:$I$1,0))</f>
        <v>37.97</v>
      </c>
      <c r="K5" s="8" t="str">
        <f>VLOOKUP(B5,archtypes!A:B,2,false)</f>
        <v>Combo Guard</v>
      </c>
      <c r="L5" s="8">
        <f t="shared" si="2"/>
        <v>51.5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16</v>
      </c>
      <c r="B6" s="1" t="s">
        <v>26</v>
      </c>
      <c r="C6" s="2">
        <v>9600.0</v>
      </c>
      <c r="D6" s="1" t="s">
        <v>27</v>
      </c>
      <c r="E6" s="1" t="s">
        <v>28</v>
      </c>
      <c r="F6" s="7">
        <f>iferror(VLOOKUP(B6,projections!A:B,2,false), "NOT ACTIVE")</f>
        <v>0</v>
      </c>
      <c r="G6" s="8">
        <f t="shared" si="1"/>
        <v>0</v>
      </c>
      <c r="H6" s="6">
        <f>iferror(VLOOKUP(B6,usage!A:B,2,false), "NOT ACTIVE")</f>
        <v>28.7</v>
      </c>
      <c r="I6" s="6">
        <f t="array" ref="I6">INDEX(DvP!$B$2:$F$31,MATCH($E6,DvP!$A$2:$A$31,0),MATCH($A6,DvP!$B$1:$F$1,0))</f>
        <v>39.92</v>
      </c>
      <c r="J6" s="8">
        <f t="array" ref="J6">INDEX(DvA!$B$2:$I$31,MATCH($E6,DvA!$A$2:$A$31,0),MATCH($K6,DvA!$B$1:$I$1,0))</f>
        <v>35.24</v>
      </c>
      <c r="K6" s="8" t="str">
        <f>VLOOKUP(B6,archtypes!A:B,2,false)</f>
        <v>Versatile Forward</v>
      </c>
      <c r="L6" s="8">
        <f t="shared" si="2"/>
        <v>48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12</v>
      </c>
      <c r="B7" s="1" t="s">
        <v>29</v>
      </c>
      <c r="C7" s="2">
        <v>9500.0</v>
      </c>
      <c r="D7" s="1" t="s">
        <v>30</v>
      </c>
      <c r="E7" s="1" t="s">
        <v>31</v>
      </c>
      <c r="F7" s="7">
        <f>iferror(VLOOKUP(B7,projections!A:B,2,false), "NOT ACTIVE")</f>
        <v>44.8</v>
      </c>
      <c r="G7" s="8">
        <f t="shared" si="1"/>
        <v>4.715789474</v>
      </c>
      <c r="H7" s="6">
        <f>iferror(VLOOKUP(B7,usage!A:B,2,false), "NOT ACTIVE")</f>
        <v>30.7</v>
      </c>
      <c r="I7" s="6">
        <f t="array" ref="I7">INDEX(DvP!$B$2:$F$31,MATCH($E7,DvP!$A$2:$A$31,0),MATCH($A7,DvP!$B$1:$F$1,0))</f>
        <v>51.07</v>
      </c>
      <c r="J7" s="8">
        <f t="array" ref="J7">INDEX(DvA!$B$2:$I$31,MATCH($E7,DvA!$A$2:$A$31,0),MATCH($K7,DvA!$B$1:$I$1,0))</f>
        <v>51.26</v>
      </c>
      <c r="K7" s="8" t="str">
        <f>VLOOKUP(B7,archtypes!A:B,2,false)</f>
        <v>Combo Guard</v>
      </c>
      <c r="L7" s="8">
        <f t="shared" si="2"/>
        <v>47.5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32</v>
      </c>
      <c r="B8" s="1" t="s">
        <v>33</v>
      </c>
      <c r="C8" s="2">
        <v>9200.0</v>
      </c>
      <c r="D8" s="1" t="s">
        <v>14</v>
      </c>
      <c r="E8" s="1" t="s">
        <v>15</v>
      </c>
      <c r="F8" s="7">
        <f>iferror(VLOOKUP(B8,projections!A:B,2,false), "NOT ACTIVE")</f>
        <v>0</v>
      </c>
      <c r="G8" s="8">
        <f t="shared" si="1"/>
        <v>0</v>
      </c>
      <c r="H8" s="6">
        <f>iferror(VLOOKUP(B8,usage!A:B,2,false), "NOT ACTIVE")</f>
        <v>33.1</v>
      </c>
      <c r="I8" s="6">
        <f t="array" ref="I8">INDEX(DvP!$B$2:$F$31,MATCH($E8,DvP!$A$2:$A$31,0),MATCH($A8,DvP!$B$1:$F$1,0))</f>
        <v>48.33</v>
      </c>
      <c r="J8" s="8">
        <f t="array" ref="J8">INDEX(DvA!$B$2:$I$31,MATCH($E8,DvA!$A$2:$A$31,0),MATCH($K8,DvA!$B$1:$I$1,0))</f>
        <v>23.1</v>
      </c>
      <c r="K8" s="8" t="str">
        <f>VLOOKUP(B8,archtypes!A:B,2,false)</f>
        <v>Scoring Wing</v>
      </c>
      <c r="L8" s="8">
        <f t="shared" si="2"/>
        <v>46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32</v>
      </c>
      <c r="B9" s="1" t="s">
        <v>34</v>
      </c>
      <c r="C9" s="2">
        <v>9000.0</v>
      </c>
      <c r="D9" s="1" t="s">
        <v>25</v>
      </c>
      <c r="E9" s="1" t="s">
        <v>24</v>
      </c>
      <c r="F9" s="7">
        <f>iferror(VLOOKUP(B9,projections!A:B,2,false), "NOT ACTIVE")</f>
        <v>0</v>
      </c>
      <c r="G9" s="8">
        <f t="shared" si="1"/>
        <v>0</v>
      </c>
      <c r="H9" s="6">
        <f>iferror(VLOOKUP(B9,usage!A:B,2,false), "NOT ACTIVE")</f>
        <v>32.7</v>
      </c>
      <c r="I9" s="6">
        <f t="array" ref="I9">INDEX(DvP!$B$2:$F$31,MATCH($E9,DvP!$A$2:$A$31,0),MATCH($A9,DvP!$B$1:$F$1,0))</f>
        <v>41.3</v>
      </c>
      <c r="J9" s="8">
        <f t="array" ref="J9">INDEX(DvA!$B$2:$I$31,MATCH($E9,DvA!$A$2:$A$31,0),MATCH($K9,DvA!$B$1:$I$1,0))</f>
        <v>37.39</v>
      </c>
      <c r="K9" s="8" t="str">
        <f>VLOOKUP(B9,archtypes!A:B,2,false)</f>
        <v>Combo Guard</v>
      </c>
      <c r="L9" s="8">
        <f t="shared" si="2"/>
        <v>45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32</v>
      </c>
      <c r="B10" s="1" t="s">
        <v>35</v>
      </c>
      <c r="C10" s="2">
        <v>8800.0</v>
      </c>
      <c r="D10" s="1" t="s">
        <v>21</v>
      </c>
      <c r="E10" s="1" t="s">
        <v>22</v>
      </c>
      <c r="F10" s="7">
        <f>iferror(VLOOKUP(B10,projections!A:B,2,false), "NOT ACTIVE")</f>
        <v>36.8</v>
      </c>
      <c r="G10" s="8">
        <f t="shared" si="1"/>
        <v>4.181818182</v>
      </c>
      <c r="H10" s="6">
        <f>iferror(VLOOKUP(B10,usage!A:B,2,false), "NOT ACTIVE")</f>
        <v>27.8</v>
      </c>
      <c r="I10" s="6">
        <f t="array" ref="I10">INDEX(DvP!$B$2:$F$31,MATCH($E10,DvP!$A$2:$A$31,0),MATCH($A10,DvP!$B$1:$F$1,0))</f>
        <v>45.77</v>
      </c>
      <c r="J10" s="8">
        <f t="array" ref="J10">INDEX(DvA!$B$2:$I$31,MATCH($E10,DvA!$A$2:$A$31,0),MATCH($K10,DvA!$B$1:$I$1,0))</f>
        <v>20.81</v>
      </c>
      <c r="K10" s="8" t="str">
        <f>VLOOKUP(B10,archtypes!A:B,2,false)</f>
        <v>Scoring Wing</v>
      </c>
      <c r="L10" s="8">
        <f t="shared" si="2"/>
        <v>44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16</v>
      </c>
      <c r="B11" s="1" t="s">
        <v>36</v>
      </c>
      <c r="C11" s="2">
        <v>8500.0</v>
      </c>
      <c r="D11" s="1" t="s">
        <v>31</v>
      </c>
      <c r="E11" s="1" t="s">
        <v>30</v>
      </c>
      <c r="F11" s="7">
        <f>iferror(VLOOKUP(B11,projections!A:B,2,false), "NOT ACTIVE")</f>
        <v>36.6</v>
      </c>
      <c r="G11" s="8">
        <f t="shared" si="1"/>
        <v>4.305882353</v>
      </c>
      <c r="H11" s="6">
        <f>iferror(VLOOKUP(B11,usage!A:B,2,false), "NOT ACTIVE")</f>
        <v>25.5</v>
      </c>
      <c r="I11" s="6">
        <f t="array" ref="I11">INDEX(DvP!$B$2:$F$31,MATCH($E11,DvP!$A$2:$A$31,0),MATCH($A11,DvP!$B$1:$F$1,0))</f>
        <v>51.3</v>
      </c>
      <c r="J11" s="8">
        <f t="array" ref="J11">INDEX(DvA!$B$2:$I$31,MATCH($E11,DvA!$A$2:$A$31,0),MATCH($K11,DvA!$B$1:$I$1,0))</f>
        <v>32.82</v>
      </c>
      <c r="K11" s="8" t="str">
        <f>VLOOKUP(B11,archtypes!A:B,2,false)</f>
        <v>Versatile Big</v>
      </c>
      <c r="L11" s="8">
        <f t="shared" si="2"/>
        <v>42.5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12</v>
      </c>
      <c r="B12" s="1" t="s">
        <v>37</v>
      </c>
      <c r="C12" s="2">
        <v>8400.0</v>
      </c>
      <c r="D12" s="1" t="s">
        <v>15</v>
      </c>
      <c r="E12" s="1" t="s">
        <v>14</v>
      </c>
      <c r="F12" s="7">
        <f>iferror(VLOOKUP(B12,projections!A:B,2,false), "NOT ACTIVE")</f>
        <v>42.9</v>
      </c>
      <c r="G12" s="8">
        <f t="shared" si="1"/>
        <v>5.107142857</v>
      </c>
      <c r="H12" s="6">
        <f>iferror(VLOOKUP(B12,usage!A:B,2,false), "NOT ACTIVE")</f>
        <v>31.9</v>
      </c>
      <c r="I12" s="6">
        <f t="array" ref="I12">INDEX(DvP!$B$2:$F$31,MATCH($E12,DvP!$A$2:$A$31,0),MATCH($A12,DvP!$B$1:$F$1,0))</f>
        <v>48.13</v>
      </c>
      <c r="J12" s="8">
        <f t="array" ref="J12">INDEX(DvA!$B$2:$I$31,MATCH($E12,DvA!$A$2:$A$31,0),MATCH($K12,DvA!$B$1:$I$1,0))</f>
        <v>49.09</v>
      </c>
      <c r="K12" s="8" t="str">
        <f>VLOOKUP(B12,archtypes!A:B,2,false)</f>
        <v>Combo Guard</v>
      </c>
      <c r="L12" s="8">
        <f t="shared" si="2"/>
        <v>42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38</v>
      </c>
      <c r="B13" s="1" t="s">
        <v>39</v>
      </c>
      <c r="C13" s="2">
        <v>8300.0</v>
      </c>
      <c r="D13" s="1" t="s">
        <v>18</v>
      </c>
      <c r="E13" s="1" t="s">
        <v>19</v>
      </c>
      <c r="F13" s="7">
        <f>iferror(VLOOKUP(B13,projections!A:B,2,false), "NOT ACTIVE")</f>
        <v>35</v>
      </c>
      <c r="G13" s="8">
        <f t="shared" si="1"/>
        <v>4.21686747</v>
      </c>
      <c r="H13" s="6">
        <f>iferror(VLOOKUP(B13,usage!A:B,2,false), "NOT ACTIVE")</f>
        <v>24.6</v>
      </c>
      <c r="I13" s="6">
        <f t="array" ref="I13">INDEX(DvP!$B$2:$F$31,MATCH($E13,DvP!$A$2:$A$31,0),MATCH($A13,DvP!$B$1:$F$1,0))</f>
        <v>40.5</v>
      </c>
      <c r="J13" s="8">
        <f t="array" ref="J13">INDEX(DvA!$B$2:$I$31,MATCH($E13,DvA!$A$2:$A$31,0),MATCH($K13,DvA!$B$1:$I$1,0))</f>
        <v>30.73</v>
      </c>
      <c r="K13" s="8" t="str">
        <f>VLOOKUP(B13,archtypes!A:B,2,false)</f>
        <v>Scoring Wing</v>
      </c>
      <c r="L13" s="8">
        <f t="shared" si="2"/>
        <v>41.5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12</v>
      </c>
      <c r="B14" s="1" t="s">
        <v>40</v>
      </c>
      <c r="C14" s="2">
        <v>8200.0</v>
      </c>
      <c r="D14" s="1" t="s">
        <v>18</v>
      </c>
      <c r="E14" s="1" t="s">
        <v>19</v>
      </c>
      <c r="F14" s="7">
        <f>iferror(VLOOKUP(B14,projections!A:B,2,false), "NOT ACTIVE")</f>
        <v>35.3</v>
      </c>
      <c r="G14" s="8">
        <f t="shared" si="1"/>
        <v>4.304878049</v>
      </c>
      <c r="H14" s="6">
        <f>iferror(VLOOKUP(B14,usage!A:B,2,false), "NOT ACTIVE")</f>
        <v>21.8</v>
      </c>
      <c r="I14" s="6">
        <f t="array" ref="I14">INDEX(DvP!$B$2:$F$31,MATCH($E14,DvP!$A$2:$A$31,0),MATCH($A14,DvP!$B$1:$F$1,0))</f>
        <v>44.74</v>
      </c>
      <c r="J14" s="8">
        <f t="array" ref="J14">INDEX(DvA!$B$2:$I$31,MATCH($E14,DvA!$A$2:$A$31,0),MATCH($K14,DvA!$B$1:$I$1,0))</f>
        <v>40.04</v>
      </c>
      <c r="K14" s="8" t="str">
        <f>VLOOKUP(B14,archtypes!A:B,2,false)</f>
        <v>Combo Guard</v>
      </c>
      <c r="L14" s="8">
        <f t="shared" si="2"/>
        <v>41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32</v>
      </c>
      <c r="B15" s="1" t="s">
        <v>41</v>
      </c>
      <c r="C15" s="2">
        <v>8200.0</v>
      </c>
      <c r="D15" s="1" t="s">
        <v>19</v>
      </c>
      <c r="E15" s="1" t="s">
        <v>18</v>
      </c>
      <c r="F15" s="7">
        <f>iferror(VLOOKUP(B15,projections!A:B,2,false), "NOT ACTIVE")</f>
        <v>38.2</v>
      </c>
      <c r="G15" s="8">
        <f t="shared" si="1"/>
        <v>4.658536585</v>
      </c>
      <c r="H15" s="6">
        <f>iferror(VLOOKUP(B15,usage!A:B,2,false), "NOT ACTIVE")</f>
        <v>25.3</v>
      </c>
      <c r="I15" s="6">
        <f t="array" ref="I15">INDEX(DvP!$B$2:$F$31,MATCH($E15,DvP!$A$2:$A$31,0),MATCH($A15,DvP!$B$1:$F$1,0))</f>
        <v>30.06</v>
      </c>
      <c r="J15" s="8">
        <f t="array" ref="J15">INDEX(DvA!$B$2:$I$31,MATCH($E15,DvA!$A$2:$A$31,0),MATCH($K15,DvA!$B$1:$I$1,0))</f>
        <v>23.46</v>
      </c>
      <c r="K15" s="8" t="str">
        <f>VLOOKUP(B15,archtypes!A:B,2,false)</f>
        <v>Scoring Wing</v>
      </c>
      <c r="L15" s="8">
        <f t="shared" si="2"/>
        <v>41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42</v>
      </c>
      <c r="B16" s="1" t="s">
        <v>43</v>
      </c>
      <c r="C16" s="2">
        <v>8100.0</v>
      </c>
      <c r="D16" s="1" t="s">
        <v>31</v>
      </c>
      <c r="E16" s="1" t="s">
        <v>30</v>
      </c>
      <c r="F16" s="7">
        <f>iferror(VLOOKUP(B16,projections!A:B,2,false), "NOT ACTIVE")</f>
        <v>30.7</v>
      </c>
      <c r="G16" s="8">
        <f t="shared" si="1"/>
        <v>3.790123457</v>
      </c>
      <c r="H16" s="6">
        <f>iferror(VLOOKUP(B16,usage!A:B,2,false), "NOT ACTIVE")</f>
        <v>18.4</v>
      </c>
      <c r="I16" s="6">
        <f t="array" ref="I16">INDEX(DvP!$B$2:$F$31,MATCH($E16,DvP!$A$2:$A$31,0),MATCH($A16,DvP!$B$1:$F$1,0))</f>
        <v>46.93</v>
      </c>
      <c r="J16" s="8">
        <f t="array" ref="J16">INDEX(DvA!$B$2:$I$31,MATCH($E16,DvA!$A$2:$A$31,0),MATCH($K16,DvA!$B$1:$I$1,0))</f>
        <v>32.82</v>
      </c>
      <c r="K16" s="8" t="str">
        <f>VLOOKUP(B16,archtypes!A:B,2,false)</f>
        <v>Versatile Big</v>
      </c>
      <c r="L16" s="8">
        <f t="shared" si="2"/>
        <v>40.5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42</v>
      </c>
      <c r="B17" s="1" t="s">
        <v>44</v>
      </c>
      <c r="C17" s="2">
        <v>8000.0</v>
      </c>
      <c r="D17" s="1" t="s">
        <v>28</v>
      </c>
      <c r="E17" s="1" t="s">
        <v>27</v>
      </c>
      <c r="F17" s="7">
        <f>iferror(VLOOKUP(B17,projections!A:B,2,false), "NOT ACTIVE")</f>
        <v>39.1</v>
      </c>
      <c r="G17" s="8">
        <f t="shared" si="1"/>
        <v>4.8875</v>
      </c>
      <c r="H17" s="6">
        <f>iferror(VLOOKUP(B17,usage!A:B,2,false), "NOT ACTIVE")</f>
        <v>21.8</v>
      </c>
      <c r="I17" s="6">
        <f t="array" ref="I17">INDEX(DvP!$B$2:$F$31,MATCH($E17,DvP!$A$2:$A$31,0),MATCH($A17,DvP!$B$1:$F$1,0))</f>
        <v>58.41</v>
      </c>
      <c r="J17" s="8">
        <f t="array" ref="J17">INDEX(DvA!$B$2:$I$31,MATCH($E17,DvA!$A$2:$A$31,0),MATCH($K17,DvA!$B$1:$I$1,0))</f>
        <v>32.08</v>
      </c>
      <c r="K17" s="8" t="str">
        <f>VLOOKUP(B17,archtypes!A:B,2,false)</f>
        <v>Post Big</v>
      </c>
      <c r="L17" s="8">
        <f t="shared" si="2"/>
        <v>40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12</v>
      </c>
      <c r="B18" s="1" t="s">
        <v>45</v>
      </c>
      <c r="C18" s="2">
        <v>8000.0</v>
      </c>
      <c r="D18" s="1" t="s">
        <v>21</v>
      </c>
      <c r="E18" s="1" t="s">
        <v>22</v>
      </c>
      <c r="F18" s="7">
        <f>iferror(VLOOKUP(B18,projections!A:B,2,false), "NOT ACTIVE")</f>
        <v>36.5</v>
      </c>
      <c r="G18" s="8">
        <f t="shared" si="1"/>
        <v>4.5625</v>
      </c>
      <c r="H18" s="6">
        <f>iferror(VLOOKUP(B18,usage!A:B,2,false), "NOT ACTIVE")</f>
        <v>25.7</v>
      </c>
      <c r="I18" s="6">
        <f t="array" ref="I18">INDEX(DvP!$B$2:$F$31,MATCH($E18,DvP!$A$2:$A$31,0),MATCH($A18,DvP!$B$1:$F$1,0))</f>
        <v>55.84</v>
      </c>
      <c r="J18" s="8">
        <f t="array" ref="J18">INDEX(DvA!$B$2:$I$31,MATCH($E18,DvA!$A$2:$A$31,0),MATCH($K18,DvA!$B$1:$I$1,0))</f>
        <v>52.62</v>
      </c>
      <c r="K18" s="8" t="str">
        <f>VLOOKUP(B18,archtypes!A:B,2,false)</f>
        <v>Combo Guard</v>
      </c>
      <c r="L18" s="8">
        <f t="shared" si="2"/>
        <v>40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42</v>
      </c>
      <c r="B19" s="1" t="s">
        <v>46</v>
      </c>
      <c r="C19" s="2">
        <v>7900.0</v>
      </c>
      <c r="D19" s="1" t="s">
        <v>25</v>
      </c>
      <c r="E19" s="1" t="s">
        <v>24</v>
      </c>
      <c r="F19" s="7">
        <f>iferror(VLOOKUP(B19,projections!A:B,2,false), "NOT ACTIVE")</f>
        <v>44.1</v>
      </c>
      <c r="G19" s="8">
        <f t="shared" si="1"/>
        <v>5.582278481</v>
      </c>
      <c r="H19" s="6">
        <f>iferror(VLOOKUP(B19,usage!A:B,2,false), "NOT ACTIVE")</f>
        <v>16.6</v>
      </c>
      <c r="I19" s="6">
        <f t="array" ref="I19">INDEX(DvP!$B$2:$F$31,MATCH($E19,DvP!$A$2:$A$31,0),MATCH($A19,DvP!$B$1:$F$1,0))</f>
        <v>42.76</v>
      </c>
      <c r="J19" s="8">
        <f t="array" ref="J19">INDEX(DvA!$B$2:$I$31,MATCH($E19,DvA!$A$2:$A$31,0),MATCH($K19,DvA!$B$1:$I$1,0))</f>
        <v>26.01</v>
      </c>
      <c r="K19" s="8" t="str">
        <f>VLOOKUP(B19,archtypes!A:B,2,false)</f>
        <v>Post Big</v>
      </c>
      <c r="L19" s="8">
        <f t="shared" si="2"/>
        <v>39.5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12</v>
      </c>
      <c r="B20" s="1" t="s">
        <v>47</v>
      </c>
      <c r="C20" s="2">
        <v>7900.0</v>
      </c>
      <c r="D20" s="1" t="s">
        <v>27</v>
      </c>
      <c r="E20" s="1" t="s">
        <v>28</v>
      </c>
      <c r="F20" s="7">
        <f>iferror(VLOOKUP(B20,projections!A:B,2,false), "NOT ACTIVE")</f>
        <v>37.1</v>
      </c>
      <c r="G20" s="8">
        <f t="shared" si="1"/>
        <v>4.696202532</v>
      </c>
      <c r="H20" s="6">
        <f>iferror(VLOOKUP(B20,usage!A:B,2,false), "NOT ACTIVE")</f>
        <v>20.4</v>
      </c>
      <c r="I20" s="6">
        <f t="array" ref="I20">INDEX(DvP!$B$2:$F$31,MATCH($E20,DvP!$A$2:$A$31,0),MATCH($A20,DvP!$B$1:$F$1,0))</f>
        <v>49.75</v>
      </c>
      <c r="J20" s="8">
        <f t="array" ref="J20">INDEX(DvA!$B$2:$I$31,MATCH($E20,DvA!$A$2:$A$31,0),MATCH($K20,DvA!$B$1:$I$1,0))</f>
        <v>11.43</v>
      </c>
      <c r="K20" s="8" t="str">
        <f>VLOOKUP(B20,archtypes!A:B,2,false)</f>
        <v>Distributor</v>
      </c>
      <c r="L20" s="8">
        <f t="shared" si="2"/>
        <v>39.5</v>
      </c>
    </row>
    <row r="21">
      <c r="A21" s="1" t="s">
        <v>16</v>
      </c>
      <c r="B21" s="1" t="s">
        <v>48</v>
      </c>
      <c r="C21" s="2">
        <v>7900.0</v>
      </c>
      <c r="D21" s="1" t="s">
        <v>24</v>
      </c>
      <c r="E21" s="1" t="s">
        <v>25</v>
      </c>
      <c r="F21" s="7">
        <f>iferror(VLOOKUP(B21,projections!A:B,2,false), "NOT ACTIVE")</f>
        <v>35.3</v>
      </c>
      <c r="G21" s="8">
        <f t="shared" si="1"/>
        <v>4.46835443</v>
      </c>
      <c r="H21" s="6">
        <f>iferror(VLOOKUP(B21,usage!A:B,2,false), "NOT ACTIVE")</f>
        <v>12.8</v>
      </c>
      <c r="I21" s="6">
        <f t="array" ref="I21">INDEX(DvP!$B$2:$F$31,MATCH($E21,DvP!$A$2:$A$31,0),MATCH($A21,DvP!$B$1:$F$1,0))</f>
        <v>36.14</v>
      </c>
      <c r="J21" s="8">
        <f t="array" ref="J21">INDEX(DvA!$B$2:$I$31,MATCH($E21,DvA!$A$2:$A$31,0),MATCH($K21,DvA!$B$1:$I$1,0))</f>
        <v>30.88</v>
      </c>
      <c r="K21" s="8" t="str">
        <f>VLOOKUP(B21,archtypes!A:B,2,false)</f>
        <v>Versatile Big</v>
      </c>
      <c r="L21" s="8">
        <f t="shared" si="2"/>
        <v>39.5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 t="s">
        <v>42</v>
      </c>
      <c r="B22" s="1" t="s">
        <v>49</v>
      </c>
      <c r="C22" s="2">
        <v>7700.0</v>
      </c>
      <c r="D22" s="1" t="s">
        <v>15</v>
      </c>
      <c r="E22" s="1" t="s">
        <v>14</v>
      </c>
      <c r="F22" s="7">
        <f>iferror(VLOOKUP(B22,projections!A:B,2,false), "NOT ACTIVE")</f>
        <v>40.8</v>
      </c>
      <c r="G22" s="8">
        <f t="shared" si="1"/>
        <v>5.298701299</v>
      </c>
      <c r="H22" s="6">
        <f>iferror(VLOOKUP(B22,usage!A:B,2,false), "NOT ACTIVE")</f>
        <v>19.5</v>
      </c>
      <c r="I22" s="6">
        <f t="array" ref="I22">INDEX(DvP!$B$2:$F$31,MATCH($E22,DvP!$A$2:$A$31,0),MATCH($A22,DvP!$B$1:$F$1,0))</f>
        <v>65.34</v>
      </c>
      <c r="J22" s="8">
        <f t="array" ref="J22">INDEX(DvA!$B$2:$I$31,MATCH($E22,DvA!$A$2:$A$31,0),MATCH($K22,DvA!$B$1:$I$1,0))</f>
        <v>33.27</v>
      </c>
      <c r="K22" s="8" t="str">
        <f>VLOOKUP(B22,archtypes!A:B,2,false)</f>
        <v>Post Big</v>
      </c>
      <c r="L22" s="8">
        <f t="shared" si="2"/>
        <v>38.5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32</v>
      </c>
      <c r="B23" s="1" t="s">
        <v>50</v>
      </c>
      <c r="C23" s="2">
        <v>7600.0</v>
      </c>
      <c r="D23" s="1" t="s">
        <v>30</v>
      </c>
      <c r="E23" s="1" t="s">
        <v>31</v>
      </c>
      <c r="F23" s="7">
        <f>iferror(VLOOKUP(B23,projections!A:B,2,false), "NOT ACTIVE")</f>
        <v>38.1</v>
      </c>
      <c r="G23" s="8">
        <f t="shared" si="1"/>
        <v>5.013157895</v>
      </c>
      <c r="H23" s="6">
        <f>iferror(VLOOKUP(B23,usage!A:B,2,false), "NOT ACTIVE")</f>
        <v>26.5</v>
      </c>
      <c r="I23" s="6">
        <f t="array" ref="I23">INDEX(DvP!$B$2:$F$31,MATCH($E23,DvP!$A$2:$A$31,0),MATCH($A23,DvP!$B$1:$F$1,0))</f>
        <v>49.69</v>
      </c>
      <c r="J23" s="8">
        <f t="array" ref="J23">INDEX(DvA!$B$2:$I$31,MATCH($E23,DvA!$A$2:$A$31,0),MATCH($K23,DvA!$B$1:$I$1,0))</f>
        <v>28.13</v>
      </c>
      <c r="K23" s="8" t="str">
        <f>VLOOKUP(B23,archtypes!A:B,2,false)</f>
        <v>Scoring Wing</v>
      </c>
      <c r="L23" s="8">
        <f t="shared" si="2"/>
        <v>38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42</v>
      </c>
      <c r="B24" s="1" t="s">
        <v>51</v>
      </c>
      <c r="C24" s="2">
        <v>7600.0</v>
      </c>
      <c r="D24" s="1" t="s">
        <v>30</v>
      </c>
      <c r="E24" s="1" t="s">
        <v>31</v>
      </c>
      <c r="F24" s="7">
        <f>iferror(VLOOKUP(B24,projections!A:B,2,false), "NOT ACTIVE")</f>
        <v>37.1</v>
      </c>
      <c r="G24" s="8">
        <f t="shared" si="1"/>
        <v>4.881578947</v>
      </c>
      <c r="H24" s="6">
        <f>iferror(VLOOKUP(B24,usage!A:B,2,false), "NOT ACTIVE")</f>
        <v>21.4</v>
      </c>
      <c r="I24" s="6">
        <f t="array" ref="I24">INDEX(DvP!$B$2:$F$31,MATCH($E24,DvP!$A$2:$A$31,0),MATCH($A24,DvP!$B$1:$F$1,0))</f>
        <v>55.55</v>
      </c>
      <c r="J24" s="8">
        <f t="array" ref="J24">INDEX(DvA!$B$2:$I$31,MATCH($E24,DvA!$A$2:$A$31,0),MATCH($K24,DvA!$B$1:$I$1,0))</f>
        <v>21.35</v>
      </c>
      <c r="K24" s="8" t="str">
        <f>VLOOKUP(B24,archtypes!A:B,2,false)</f>
        <v>Post Big</v>
      </c>
      <c r="L24" s="8">
        <f t="shared" si="2"/>
        <v>38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12</v>
      </c>
      <c r="B25" s="1" t="s">
        <v>52</v>
      </c>
      <c r="C25" s="2">
        <v>7600.0</v>
      </c>
      <c r="D25" s="1" t="s">
        <v>25</v>
      </c>
      <c r="E25" s="1" t="s">
        <v>24</v>
      </c>
      <c r="F25" s="7">
        <f>iferror(VLOOKUP(B25,projections!A:B,2,false), "NOT ACTIVE")</f>
        <v>0</v>
      </c>
      <c r="G25" s="8">
        <f t="shared" si="1"/>
        <v>0</v>
      </c>
      <c r="H25" s="6">
        <f>iferror(VLOOKUP(B25,usage!A:B,2,false), "NOT ACTIVE")</f>
        <v>22.4</v>
      </c>
      <c r="I25" s="6">
        <f t="array" ref="I25">INDEX(DvP!$B$2:$F$31,MATCH($E25,DvP!$A$2:$A$31,0),MATCH($A25,DvP!$B$1:$F$1,0))</f>
        <v>52.25</v>
      </c>
      <c r="J25" s="8">
        <f t="array" ref="J25">INDEX(DvA!$B$2:$I$31,MATCH($E25,DvA!$A$2:$A$31,0),MATCH($K25,DvA!$B$1:$I$1,0))</f>
        <v>31.36</v>
      </c>
      <c r="K25" s="8" t="str">
        <f>VLOOKUP(B25,archtypes!A:B,2,false)</f>
        <v>Distributor</v>
      </c>
      <c r="L25" s="8">
        <f t="shared" si="2"/>
        <v>38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32</v>
      </c>
      <c r="B26" s="1" t="s">
        <v>53</v>
      </c>
      <c r="C26" s="2">
        <v>7500.0</v>
      </c>
      <c r="D26" s="1" t="s">
        <v>22</v>
      </c>
      <c r="E26" s="1" t="s">
        <v>21</v>
      </c>
      <c r="F26" s="7">
        <f>iferror(VLOOKUP(B26,projections!A:B,2,false), "NOT ACTIVE")</f>
        <v>34.3</v>
      </c>
      <c r="G26" s="8">
        <f t="shared" si="1"/>
        <v>4.573333333</v>
      </c>
      <c r="H26" s="6">
        <f>iferror(VLOOKUP(B26,usage!A:B,2,false), "NOT ACTIVE")</f>
        <v>28.2</v>
      </c>
      <c r="I26" s="6">
        <f t="array" ref="I26">INDEX(DvP!$B$2:$F$31,MATCH($E26,DvP!$A$2:$A$31,0),MATCH($A26,DvP!$B$1:$F$1,0))</f>
        <v>46.49</v>
      </c>
      <c r="J26" s="8">
        <f t="array" ref="J26">INDEX(DvA!$B$2:$I$31,MATCH($E26,DvA!$A$2:$A$31,0),MATCH($K26,DvA!$B$1:$I$1,0))</f>
        <v>51.24</v>
      </c>
      <c r="K26" s="8" t="str">
        <f>VLOOKUP(B26,archtypes!A:B,2,false)</f>
        <v>Combo Guard</v>
      </c>
      <c r="L26" s="8">
        <f t="shared" si="2"/>
        <v>37.5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38</v>
      </c>
      <c r="B27" s="1" t="s">
        <v>54</v>
      </c>
      <c r="C27" s="2">
        <v>7400.0</v>
      </c>
      <c r="D27" s="1" t="s">
        <v>27</v>
      </c>
      <c r="E27" s="1" t="s">
        <v>28</v>
      </c>
      <c r="F27" s="7">
        <f>iferror(VLOOKUP(B27,projections!A:B,2,false), "NOT ACTIVE")</f>
        <v>0</v>
      </c>
      <c r="G27" s="8">
        <f t="shared" si="1"/>
        <v>0</v>
      </c>
      <c r="H27" s="6">
        <f>iferror(VLOOKUP(B27,usage!A:B,2,false), "NOT ACTIVE")</f>
        <v>27.9</v>
      </c>
      <c r="I27" s="6">
        <f t="array" ref="I27">INDEX(DvP!$B$2:$F$31,MATCH($E27,DvP!$A$2:$A$31,0),MATCH($A27,DvP!$B$1:$F$1,0))</f>
        <v>38.5</v>
      </c>
      <c r="J27" s="8">
        <f t="array" ref="J27">INDEX(DvA!$B$2:$I$31,MATCH($E27,DvA!$A$2:$A$31,0),MATCH($K27,DvA!$B$1:$I$1,0))</f>
        <v>27.73</v>
      </c>
      <c r="K27" s="8" t="str">
        <f>VLOOKUP(B27,archtypes!A:B,2,false)</f>
        <v>Scoring Wing</v>
      </c>
      <c r="L27" s="8">
        <f t="shared" si="2"/>
        <v>37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 t="s">
        <v>12</v>
      </c>
      <c r="B28" s="1" t="s">
        <v>55</v>
      </c>
      <c r="C28" s="2">
        <v>7400.0</v>
      </c>
      <c r="D28" s="1" t="s">
        <v>19</v>
      </c>
      <c r="E28" s="1" t="s">
        <v>18</v>
      </c>
      <c r="F28" s="7">
        <f>iferror(VLOOKUP(B28,projections!A:B,2,false), "NOT ACTIVE")</f>
        <v>33.9</v>
      </c>
      <c r="G28" s="8">
        <f t="shared" si="1"/>
        <v>4.581081081</v>
      </c>
      <c r="H28" s="6">
        <f>iferror(VLOOKUP(B28,usage!A:B,2,false), "NOT ACTIVE")</f>
        <v>23.2</v>
      </c>
      <c r="I28" s="6">
        <f t="array" ref="I28">INDEX(DvP!$B$2:$F$31,MATCH($E28,DvP!$A$2:$A$31,0),MATCH($A28,DvP!$B$1:$F$1,0))</f>
        <v>57.33</v>
      </c>
      <c r="J28" s="8">
        <f t="array" ref="J28">INDEX(DvA!$B$2:$I$31,MATCH($E28,DvA!$A$2:$A$31,0),MATCH($K28,DvA!$B$1:$I$1,0))</f>
        <v>39.36</v>
      </c>
      <c r="K28" s="8" t="str">
        <f>VLOOKUP(B28,archtypes!A:B,2,false)</f>
        <v>Combo Guard</v>
      </c>
      <c r="L28" s="8">
        <f t="shared" si="2"/>
        <v>37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32</v>
      </c>
      <c r="B29" s="1" t="s">
        <v>56</v>
      </c>
      <c r="C29" s="2">
        <v>7400.0</v>
      </c>
      <c r="D29" s="1" t="s">
        <v>25</v>
      </c>
      <c r="E29" s="1" t="s">
        <v>24</v>
      </c>
      <c r="F29" s="7">
        <f>iferror(VLOOKUP(B29,projections!A:B,2,false), "NOT ACTIVE")</f>
        <v>32.6</v>
      </c>
      <c r="G29" s="8">
        <f t="shared" si="1"/>
        <v>4.405405405</v>
      </c>
      <c r="H29" s="6">
        <f>iferror(VLOOKUP(B29,usage!A:B,2,false), "NOT ACTIVE")</f>
        <v>28.2</v>
      </c>
      <c r="I29" s="6">
        <f t="array" ref="I29">INDEX(DvP!$B$2:$F$31,MATCH($E29,DvP!$A$2:$A$31,0),MATCH($A29,DvP!$B$1:$F$1,0))</f>
        <v>41.3</v>
      </c>
      <c r="J29" s="8">
        <f t="array" ref="J29">INDEX(DvA!$B$2:$I$31,MATCH($E29,DvA!$A$2:$A$31,0),MATCH($K29,DvA!$B$1:$I$1,0))</f>
        <v>13.36</v>
      </c>
      <c r="K29" s="8" t="str">
        <f>VLOOKUP(B29,archtypes!A:B,2,false)</f>
        <v>Scoring Wing</v>
      </c>
      <c r="L29" s="8">
        <f t="shared" si="2"/>
        <v>37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 t="s">
        <v>12</v>
      </c>
      <c r="B30" s="1" t="s">
        <v>57</v>
      </c>
      <c r="C30" s="2">
        <v>7300.0</v>
      </c>
      <c r="D30" s="1" t="s">
        <v>22</v>
      </c>
      <c r="E30" s="1" t="s">
        <v>21</v>
      </c>
      <c r="F30" s="7">
        <f>iferror(VLOOKUP(B30,projections!A:B,2,false), "NOT ACTIVE")</f>
        <v>0</v>
      </c>
      <c r="G30" s="8">
        <f t="shared" si="1"/>
        <v>0</v>
      </c>
      <c r="H30" s="6">
        <f>iferror(VLOOKUP(B30,usage!A:B,2,false), "NOT ACTIVE")</f>
        <v>24.6</v>
      </c>
      <c r="I30" s="6">
        <f t="array" ref="I30">INDEX(DvP!$B$2:$F$31,MATCH($E30,DvP!$A$2:$A$31,0),MATCH($A30,DvP!$B$1:$F$1,0))</f>
        <v>61.22</v>
      </c>
      <c r="J30" s="8">
        <f t="array" ref="J30">INDEX(DvA!$B$2:$I$31,MATCH($E30,DvA!$A$2:$A$31,0),MATCH($K30,DvA!$B$1:$I$1,0))</f>
        <v>51.24</v>
      </c>
      <c r="K30" s="8" t="str">
        <f>VLOOKUP(B30,archtypes!A:B,2,false)</f>
        <v>Combo Guard</v>
      </c>
      <c r="L30" s="8">
        <f t="shared" si="2"/>
        <v>36.5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38</v>
      </c>
      <c r="B31" s="1" t="s">
        <v>58</v>
      </c>
      <c r="C31" s="2">
        <v>7300.0</v>
      </c>
      <c r="D31" s="1" t="s">
        <v>15</v>
      </c>
      <c r="E31" s="1" t="s">
        <v>14</v>
      </c>
      <c r="F31" s="7">
        <f>iferror(VLOOKUP(B31,projections!A:B,2,false), "NOT ACTIVE")</f>
        <v>30.9</v>
      </c>
      <c r="G31" s="8">
        <f t="shared" si="1"/>
        <v>4.232876712</v>
      </c>
      <c r="H31" s="6">
        <f>iferror(VLOOKUP(B31,usage!A:B,2,false), "NOT ACTIVE")</f>
        <v>21.2</v>
      </c>
      <c r="I31" s="6">
        <f t="array" ref="I31">INDEX(DvP!$B$2:$F$31,MATCH($E31,DvP!$A$2:$A$31,0),MATCH($A31,DvP!$B$1:$F$1,0))</f>
        <v>30.63</v>
      </c>
      <c r="J31" s="8">
        <f t="array" ref="J31">INDEX(DvA!$B$2:$I$31,MATCH($E31,DvA!$A$2:$A$31,0),MATCH($K31,DvA!$B$1:$I$1,0))</f>
        <v>23.41</v>
      </c>
      <c r="K31" s="8" t="str">
        <f>VLOOKUP(B31,archtypes!A:B,2,false)</f>
        <v>Scoring Wing</v>
      </c>
      <c r="L31" s="8">
        <f t="shared" si="2"/>
        <v>36.5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32</v>
      </c>
      <c r="B32" s="1" t="s">
        <v>59</v>
      </c>
      <c r="C32" s="2">
        <v>7300.0</v>
      </c>
      <c r="D32" s="1" t="s">
        <v>24</v>
      </c>
      <c r="E32" s="1" t="s">
        <v>25</v>
      </c>
      <c r="F32" s="7">
        <f>iferror(VLOOKUP(B32,projections!A:B,2,false), "NOT ACTIVE")</f>
        <v>32.4</v>
      </c>
      <c r="G32" s="8">
        <f t="shared" si="1"/>
        <v>4.438356164</v>
      </c>
      <c r="H32" s="6">
        <f>iferror(VLOOKUP(B32,usage!A:B,2,false), "NOT ACTIVE")</f>
        <v>22.8</v>
      </c>
      <c r="I32" s="6">
        <f t="array" ref="I32">INDEX(DvP!$B$2:$F$31,MATCH($E32,DvP!$A$2:$A$31,0),MATCH($A32,DvP!$B$1:$F$1,0))</f>
        <v>48.99</v>
      </c>
      <c r="J32" s="8">
        <f t="array" ref="J32">INDEX(DvA!$B$2:$I$31,MATCH($E32,DvA!$A$2:$A$31,0),MATCH($K32,DvA!$B$1:$I$1,0))</f>
        <v>25.2</v>
      </c>
      <c r="K32" s="8" t="str">
        <f>VLOOKUP(B32,archtypes!A:B,2,false)</f>
        <v>Scoring Wing</v>
      </c>
      <c r="L32" s="8">
        <f t="shared" si="2"/>
        <v>36.5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 t="s">
        <v>12</v>
      </c>
      <c r="B33" s="1" t="s">
        <v>60</v>
      </c>
      <c r="C33" s="2">
        <v>7200.0</v>
      </c>
      <c r="D33" s="1" t="s">
        <v>28</v>
      </c>
      <c r="E33" s="1" t="s">
        <v>27</v>
      </c>
      <c r="F33" s="7">
        <f>iferror(VLOOKUP(B33,projections!A:B,2,false), "NOT ACTIVE")</f>
        <v>37.9</v>
      </c>
      <c r="G33" s="8">
        <f t="shared" si="1"/>
        <v>5.263888889</v>
      </c>
      <c r="H33" s="6">
        <f>iferror(VLOOKUP(B33,usage!A:B,2,false), "NOT ACTIVE")</f>
        <v>26.9</v>
      </c>
      <c r="I33" s="6">
        <f t="array" ref="I33">INDEX(DvP!$B$2:$F$31,MATCH($E33,DvP!$A$2:$A$31,0),MATCH($A33,DvP!$B$1:$F$1,0))</f>
        <v>51.23</v>
      </c>
      <c r="J33" s="8">
        <f t="array" ref="J33">INDEX(DvA!$B$2:$I$31,MATCH($E33,DvA!$A$2:$A$31,0),MATCH($K33,DvA!$B$1:$I$1,0))</f>
        <v>56.15</v>
      </c>
      <c r="K33" s="8" t="str">
        <f>VLOOKUP(B33,archtypes!A:B,2,false)</f>
        <v>Combo Guard</v>
      </c>
      <c r="L33" s="8">
        <f t="shared" si="2"/>
        <v>36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 t="s">
        <v>16</v>
      </c>
      <c r="B34" s="1" t="s">
        <v>61</v>
      </c>
      <c r="C34" s="2">
        <v>7100.0</v>
      </c>
      <c r="D34" s="1" t="s">
        <v>31</v>
      </c>
      <c r="E34" s="1" t="s">
        <v>30</v>
      </c>
      <c r="F34" s="7">
        <f>iferror(VLOOKUP(B34,projections!A:B,2,false), "NOT ACTIVE")</f>
        <v>23.5</v>
      </c>
      <c r="G34" s="8">
        <f t="shared" si="1"/>
        <v>3.309859155</v>
      </c>
      <c r="H34" s="6">
        <f>iferror(VLOOKUP(B34,usage!A:B,2,false), "NOT ACTIVE")</f>
        <v>15.1</v>
      </c>
      <c r="I34" s="6">
        <f t="array" ref="I34">INDEX(DvP!$B$2:$F$31,MATCH($E34,DvP!$A$2:$A$31,0),MATCH($A34,DvP!$B$1:$F$1,0))</f>
        <v>51.3</v>
      </c>
      <c r="J34" s="8">
        <f t="array" ref="J34">INDEX(DvA!$B$2:$I$31,MATCH($E34,DvA!$A$2:$A$31,0),MATCH($K34,DvA!$B$1:$I$1,0))</f>
        <v>35.55</v>
      </c>
      <c r="K34" s="8" t="str">
        <f>VLOOKUP(B34,archtypes!A:B,2,false)</f>
        <v>Versatile Forward</v>
      </c>
      <c r="L34" s="8">
        <f t="shared" si="2"/>
        <v>35.5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32</v>
      </c>
      <c r="B35" s="1" t="s">
        <v>62</v>
      </c>
      <c r="C35" s="2">
        <v>6800.0</v>
      </c>
      <c r="D35" s="1" t="s">
        <v>27</v>
      </c>
      <c r="E35" s="1" t="s">
        <v>28</v>
      </c>
      <c r="F35" s="7">
        <f>iferror(VLOOKUP(B35,projections!A:B,2,false), "NOT ACTIVE")</f>
        <v>20.6</v>
      </c>
      <c r="G35" s="8">
        <f t="shared" si="1"/>
        <v>3.029411765</v>
      </c>
      <c r="H35" s="6">
        <f>iferror(VLOOKUP(B35,usage!A:B,2,false), "NOT ACTIVE")</f>
        <v>22.3</v>
      </c>
      <c r="I35" s="6">
        <f t="array" ref="I35">INDEX(DvP!$B$2:$F$31,MATCH($E35,DvP!$A$2:$A$31,0),MATCH($A35,DvP!$B$1:$F$1,0))</f>
        <v>42.5</v>
      </c>
      <c r="J35" s="8">
        <f t="array" ref="J35">INDEX(DvA!$B$2:$I$31,MATCH($E35,DvA!$A$2:$A$31,0),MATCH($K35,DvA!$B$1:$I$1,0))</f>
        <v>43.89</v>
      </c>
      <c r="K35" s="8" t="str">
        <f>VLOOKUP(B35,archtypes!A:B,2,false)</f>
        <v>Combo Guard</v>
      </c>
      <c r="L35" s="8">
        <f t="shared" si="2"/>
        <v>34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 t="s">
        <v>42</v>
      </c>
      <c r="B36" s="1" t="s">
        <v>63</v>
      </c>
      <c r="C36" s="2">
        <v>6800.0</v>
      </c>
      <c r="D36" s="1" t="s">
        <v>22</v>
      </c>
      <c r="E36" s="1" t="s">
        <v>21</v>
      </c>
      <c r="F36" s="7">
        <f>iferror(VLOOKUP(B36,projections!A:B,2,false), "NOT ACTIVE")</f>
        <v>34.2</v>
      </c>
      <c r="G36" s="8">
        <f t="shared" si="1"/>
        <v>5.029411765</v>
      </c>
      <c r="H36" s="6">
        <f>iferror(VLOOKUP(B36,usage!A:B,2,false), "NOT ACTIVE")</f>
        <v>16.3</v>
      </c>
      <c r="I36" s="6">
        <f t="array" ref="I36">INDEX(DvP!$B$2:$F$31,MATCH($E36,DvP!$A$2:$A$31,0),MATCH($A36,DvP!$B$1:$F$1,0))</f>
        <v>53.36</v>
      </c>
      <c r="J36" s="8">
        <f t="array" ref="J36">INDEX(DvA!$B$2:$I$31,MATCH($E36,DvA!$A$2:$A$31,0),MATCH($K36,DvA!$B$1:$I$1,0))</f>
        <v>44.67</v>
      </c>
      <c r="K36" s="8" t="str">
        <f>VLOOKUP(B36,archtypes!A:B,2,false)</f>
        <v>Post Big</v>
      </c>
      <c r="L36" s="8">
        <f t="shared" si="2"/>
        <v>34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 t="s">
        <v>12</v>
      </c>
      <c r="B37" s="1" t="s">
        <v>64</v>
      </c>
      <c r="C37" s="2">
        <v>6400.0</v>
      </c>
      <c r="D37" s="1" t="s">
        <v>19</v>
      </c>
      <c r="E37" s="1" t="s">
        <v>18</v>
      </c>
      <c r="F37" s="7" t="str">
        <f>iferror(VLOOKUP(B37,projections!A:B,2,false), "NOT ACTIVE")</f>
        <v>NOT ACTIVE</v>
      </c>
      <c r="G37" s="8" t="str">
        <f t="shared" si="1"/>
        <v>NOT ACTIVE</v>
      </c>
      <c r="H37" s="6">
        <f>iferror(VLOOKUP(B37,usage!A:B,2,false), "NOT ACTIVE")</f>
        <v>22.3</v>
      </c>
      <c r="I37" s="6">
        <f t="array" ref="I37">INDEX(DvP!$B$2:$F$31,MATCH($E37,DvP!$A$2:$A$31,0),MATCH($A37,DvP!$B$1:$F$1,0))</f>
        <v>57.33</v>
      </c>
      <c r="J37" s="8">
        <f t="array" ref="J37">INDEX(DvA!$B$2:$I$31,MATCH($E37,DvA!$A$2:$A$31,0),MATCH($K37,DvA!$B$1:$I$1,0))</f>
        <v>39.36</v>
      </c>
      <c r="K37" s="8" t="str">
        <f>VLOOKUP(B37,archtypes!A:B,2,false)</f>
        <v>Combo Guard</v>
      </c>
      <c r="L37" s="8">
        <f t="shared" si="2"/>
        <v>32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16</v>
      </c>
      <c r="B38" s="1" t="s">
        <v>65</v>
      </c>
      <c r="C38" s="2">
        <v>6400.0</v>
      </c>
      <c r="D38" s="1" t="s">
        <v>15</v>
      </c>
      <c r="E38" s="1" t="s">
        <v>14</v>
      </c>
      <c r="F38" s="7">
        <f>iferror(VLOOKUP(B38,projections!A:B,2,false), "NOT ACTIVE")</f>
        <v>31.2</v>
      </c>
      <c r="G38" s="8">
        <f t="shared" si="1"/>
        <v>4.875</v>
      </c>
      <c r="H38" s="6">
        <f>iferror(VLOOKUP(B38,usage!A:B,2,false), "NOT ACTIVE")</f>
        <v>21.4</v>
      </c>
      <c r="I38" s="6">
        <f t="array" ref="I38">INDEX(DvP!$B$2:$F$31,MATCH($E38,DvP!$A$2:$A$31,0),MATCH($A38,DvP!$B$1:$F$1,0))</f>
        <v>49.34</v>
      </c>
      <c r="J38" s="8">
        <f t="array" ref="J38">INDEX(DvA!$B$2:$I$31,MATCH($E38,DvA!$A$2:$A$31,0),MATCH($K38,DvA!$B$1:$I$1,0))</f>
        <v>33.01</v>
      </c>
      <c r="K38" s="8" t="str">
        <f>VLOOKUP(B38,archtypes!A:B,2,false)</f>
        <v>Versatile Big</v>
      </c>
      <c r="L38" s="8">
        <f t="shared" si="2"/>
        <v>32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38</v>
      </c>
      <c r="B39" s="1" t="s">
        <v>66</v>
      </c>
      <c r="C39" s="2">
        <v>6400.0</v>
      </c>
      <c r="D39" s="1" t="s">
        <v>24</v>
      </c>
      <c r="E39" s="1" t="s">
        <v>25</v>
      </c>
      <c r="F39" s="7">
        <f>iferror(VLOOKUP(B39,projections!A:B,2,false), "NOT ACTIVE")</f>
        <v>0</v>
      </c>
      <c r="G39" s="8">
        <f t="shared" si="1"/>
        <v>0</v>
      </c>
      <c r="H39" s="6">
        <f>iferror(VLOOKUP(B39,usage!A:B,2,false), "NOT ACTIVE")</f>
        <v>21.5</v>
      </c>
      <c r="I39" s="6">
        <f t="array" ref="I39">INDEX(DvP!$B$2:$F$31,MATCH($E39,DvP!$A$2:$A$31,0),MATCH($A39,DvP!$B$1:$F$1,0))</f>
        <v>40.53</v>
      </c>
      <c r="J39" s="8">
        <f t="array" ref="J39">INDEX(DvA!$B$2:$I$31,MATCH($E39,DvA!$A$2:$A$31,0),MATCH($K39,DvA!$B$1:$I$1,0))</f>
        <v>25.2</v>
      </c>
      <c r="K39" s="8" t="str">
        <f>VLOOKUP(B39,archtypes!A:B,2,false)</f>
        <v>Scoring Wing</v>
      </c>
      <c r="L39" s="8">
        <f t="shared" si="2"/>
        <v>32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38</v>
      </c>
      <c r="B40" s="1" t="s">
        <v>67</v>
      </c>
      <c r="C40" s="2">
        <v>6300.0</v>
      </c>
      <c r="D40" s="1" t="s">
        <v>15</v>
      </c>
      <c r="E40" s="1" t="s">
        <v>14</v>
      </c>
      <c r="F40" s="7">
        <f>iferror(VLOOKUP(B40,projections!A:B,2,false), "NOT ACTIVE")</f>
        <v>21</v>
      </c>
      <c r="G40" s="8">
        <f t="shared" si="1"/>
        <v>3.333333333</v>
      </c>
      <c r="H40" s="6">
        <f>iferror(VLOOKUP(B40,usage!A:B,2,false), "NOT ACTIVE")</f>
        <v>21.5</v>
      </c>
      <c r="I40" s="6">
        <f t="array" ref="I40">INDEX(DvP!$B$2:$F$31,MATCH($E40,DvP!$A$2:$A$31,0),MATCH($A40,DvP!$B$1:$F$1,0))</f>
        <v>30.63</v>
      </c>
      <c r="J40" s="8">
        <f t="array" ref="J40">INDEX(DvA!$B$2:$I$31,MATCH($E40,DvA!$A$2:$A$31,0),MATCH($K40,DvA!$B$1:$I$1,0))</f>
        <v>33.09</v>
      </c>
      <c r="K40" s="8" t="str">
        <f>VLOOKUP(B40,archtypes!A:B,2,false)</f>
        <v>Versatile Forward</v>
      </c>
      <c r="L40" s="8">
        <f t="shared" si="2"/>
        <v>31.5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 t="s">
        <v>16</v>
      </c>
      <c r="B41" s="1" t="s">
        <v>68</v>
      </c>
      <c r="C41" s="2">
        <v>6200.0</v>
      </c>
      <c r="D41" s="1" t="s">
        <v>31</v>
      </c>
      <c r="E41" s="1" t="s">
        <v>30</v>
      </c>
      <c r="F41" s="7">
        <f>iferror(VLOOKUP(B41,projections!A:B,2,false), "NOT ACTIVE")</f>
        <v>24</v>
      </c>
      <c r="G41" s="8">
        <f t="shared" si="1"/>
        <v>3.870967742</v>
      </c>
      <c r="H41" s="6">
        <f>iferror(VLOOKUP(B41,usage!A:B,2,false), "NOT ACTIVE")</f>
        <v>15.7</v>
      </c>
      <c r="I41" s="6">
        <f t="array" ref="I41">INDEX(DvP!$B$2:$F$31,MATCH($E41,DvP!$A$2:$A$31,0),MATCH($A41,DvP!$B$1:$F$1,0))</f>
        <v>51.3</v>
      </c>
      <c r="J41" s="8">
        <f t="array" ref="J41">INDEX(DvA!$B$2:$I$31,MATCH($E41,DvA!$A$2:$A$31,0),MATCH($K41,DvA!$B$1:$I$1,0))</f>
        <v>23.71</v>
      </c>
      <c r="K41" s="8" t="str">
        <f>VLOOKUP(B41,archtypes!A:B,2,false)</f>
        <v>Shooting Wing</v>
      </c>
      <c r="L41" s="8">
        <f t="shared" si="2"/>
        <v>31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38</v>
      </c>
      <c r="B42" s="1" t="s">
        <v>69</v>
      </c>
      <c r="C42" s="2">
        <v>6200.0</v>
      </c>
      <c r="D42" s="1" t="s">
        <v>25</v>
      </c>
      <c r="E42" s="1" t="s">
        <v>24</v>
      </c>
      <c r="F42" s="7">
        <f>iferror(VLOOKUP(B42,projections!A:B,2,false), "NOT ACTIVE")</f>
        <v>30.8</v>
      </c>
      <c r="G42" s="8">
        <f t="shared" si="1"/>
        <v>4.967741935</v>
      </c>
      <c r="H42" s="6">
        <f>iferror(VLOOKUP(B42,usage!A:B,2,false), "NOT ACTIVE")</f>
        <v>16.2</v>
      </c>
      <c r="I42" s="6">
        <f t="array" ref="I42">INDEX(DvP!$B$2:$F$31,MATCH($E42,DvP!$A$2:$A$31,0),MATCH($A42,DvP!$B$1:$F$1,0))</f>
        <v>36.98</v>
      </c>
      <c r="J42" s="8">
        <f t="array" ref="J42">INDEX(DvA!$B$2:$I$31,MATCH($E42,DvA!$A$2:$A$31,0),MATCH($K42,DvA!$B$1:$I$1,0))</f>
        <v>12.15</v>
      </c>
      <c r="K42" s="8" t="str">
        <f>VLOOKUP(B42,archtypes!A:B,2,false)</f>
        <v>Shooting Wing</v>
      </c>
      <c r="L42" s="8">
        <f t="shared" si="2"/>
        <v>31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 t="s">
        <v>12</v>
      </c>
      <c r="B43" s="1" t="s">
        <v>70</v>
      </c>
      <c r="C43" s="2">
        <v>6200.0</v>
      </c>
      <c r="D43" s="1" t="s">
        <v>21</v>
      </c>
      <c r="E43" s="1" t="s">
        <v>22</v>
      </c>
      <c r="F43" s="7">
        <f>iferror(VLOOKUP(B43,projections!A:B,2,false), "NOT ACTIVE")</f>
        <v>20</v>
      </c>
      <c r="G43" s="8">
        <f t="shared" si="1"/>
        <v>3.225806452</v>
      </c>
      <c r="H43" s="6">
        <f>iferror(VLOOKUP(B43,usage!A:B,2,false), "NOT ACTIVE")</f>
        <v>14.8</v>
      </c>
      <c r="I43" s="6">
        <f t="array" ref="I43">INDEX(DvP!$B$2:$F$31,MATCH($E43,DvP!$A$2:$A$31,0),MATCH($A43,DvP!$B$1:$F$1,0))</f>
        <v>55.84</v>
      </c>
      <c r="J43" s="8">
        <f t="array" ref="J43">INDEX(DvA!$B$2:$I$31,MATCH($E43,DvA!$A$2:$A$31,0),MATCH($K43,DvA!$B$1:$I$1,0))</f>
        <v>24.53</v>
      </c>
      <c r="K43" s="8" t="str">
        <f>VLOOKUP(B43,archtypes!A:B,2,false)</f>
        <v>Distributor</v>
      </c>
      <c r="L43" s="8">
        <f t="shared" si="2"/>
        <v>31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 t="s">
        <v>32</v>
      </c>
      <c r="B44" s="1" t="s">
        <v>71</v>
      </c>
      <c r="C44" s="2">
        <v>6100.0</v>
      </c>
      <c r="D44" s="1" t="s">
        <v>27</v>
      </c>
      <c r="E44" s="1" t="s">
        <v>28</v>
      </c>
      <c r="F44" s="7" t="str">
        <f>iferror(VLOOKUP(B44,projections!A:B,2,false), "NOT ACTIVE")</f>
        <v>NOT ACTIVE</v>
      </c>
      <c r="G44" s="8" t="str">
        <f t="shared" si="1"/>
        <v>NOT ACTIVE</v>
      </c>
      <c r="H44" s="6">
        <f>iferror(VLOOKUP(B44,usage!A:B,2,false), "NOT ACTIVE")</f>
        <v>13.3</v>
      </c>
      <c r="I44" s="6">
        <f t="array" ref="I44">INDEX(DvP!$B$2:$F$31,MATCH($E44,DvP!$A$2:$A$31,0),MATCH($A44,DvP!$B$1:$F$1,0))</f>
        <v>42.5</v>
      </c>
      <c r="J44" s="8">
        <f t="array" ref="J44">INDEX(DvA!$B$2:$I$31,MATCH($E44,DvA!$A$2:$A$31,0),MATCH($K44,DvA!$B$1:$I$1,0))</f>
        <v>20.05</v>
      </c>
      <c r="K44" s="8" t="str">
        <f>VLOOKUP(B44,archtypes!A:B,2,false)</f>
        <v>Shooting Wing</v>
      </c>
      <c r="L44" s="8">
        <f t="shared" si="2"/>
        <v>30.5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 t="s">
        <v>38</v>
      </c>
      <c r="B45" s="1" t="s">
        <v>72</v>
      </c>
      <c r="C45" s="2">
        <v>6100.0</v>
      </c>
      <c r="D45" s="1" t="s">
        <v>25</v>
      </c>
      <c r="E45" s="1" t="s">
        <v>24</v>
      </c>
      <c r="F45" s="7">
        <f>iferror(VLOOKUP(B45,projections!A:B,2,false), "NOT ACTIVE")</f>
        <v>31.1</v>
      </c>
      <c r="G45" s="8">
        <f t="shared" si="1"/>
        <v>5.098360656</v>
      </c>
      <c r="H45" s="6">
        <f>iferror(VLOOKUP(B45,usage!A:B,2,false), "NOT ACTIVE")</f>
        <v>22.1</v>
      </c>
      <c r="I45" s="6">
        <f t="array" ref="I45">INDEX(DvP!$B$2:$F$31,MATCH($E45,DvP!$A$2:$A$31,0),MATCH($A45,DvP!$B$1:$F$1,0))</f>
        <v>36.98</v>
      </c>
      <c r="J45" s="8">
        <f t="array" ref="J45">INDEX(DvA!$B$2:$I$31,MATCH($E45,DvA!$A$2:$A$31,0),MATCH($K45,DvA!$B$1:$I$1,0))</f>
        <v>12.15</v>
      </c>
      <c r="K45" s="8" t="str">
        <f>VLOOKUP(B45,archtypes!A:B,2,false)</f>
        <v>Shooting Wing</v>
      </c>
      <c r="L45" s="8">
        <f t="shared" si="2"/>
        <v>30.5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38</v>
      </c>
      <c r="B46" s="1" t="s">
        <v>73</v>
      </c>
      <c r="C46" s="2">
        <v>6000.0</v>
      </c>
      <c r="D46" s="1" t="s">
        <v>31</v>
      </c>
      <c r="E46" s="1" t="s">
        <v>30</v>
      </c>
      <c r="F46" s="7">
        <f>iferror(VLOOKUP(B46,projections!A:B,2,false), "NOT ACTIVE")</f>
        <v>0</v>
      </c>
      <c r="G46" s="8">
        <f t="shared" si="1"/>
        <v>0</v>
      </c>
      <c r="H46" s="6">
        <f>iferror(VLOOKUP(B46,usage!A:B,2,false), "NOT ACTIVE")</f>
        <v>24.7</v>
      </c>
      <c r="I46" s="6">
        <f t="array" ref="I46">INDEX(DvP!$B$2:$F$31,MATCH($E46,DvP!$A$2:$A$31,0),MATCH($A46,DvP!$B$1:$F$1,0))</f>
        <v>42.78</v>
      </c>
      <c r="J46" s="8">
        <f t="array" ref="J46">INDEX(DvA!$B$2:$I$31,MATCH($E46,DvA!$A$2:$A$31,0),MATCH($K46,DvA!$B$1:$I$1,0))</f>
        <v>15.13</v>
      </c>
      <c r="K46" s="8" t="str">
        <f>VLOOKUP(B46,archtypes!A:B,2,false)</f>
        <v>3 and D Wing</v>
      </c>
      <c r="L46" s="8">
        <f t="shared" si="2"/>
        <v>30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42</v>
      </c>
      <c r="B47" s="1" t="s">
        <v>74</v>
      </c>
      <c r="C47" s="2">
        <v>6000.0</v>
      </c>
      <c r="D47" s="1" t="s">
        <v>18</v>
      </c>
      <c r="E47" s="1" t="s">
        <v>19</v>
      </c>
      <c r="F47" s="7">
        <f>iferror(VLOOKUP(B47,projections!A:B,2,false), "NOT ACTIVE")</f>
        <v>24.6</v>
      </c>
      <c r="G47" s="8">
        <f t="shared" si="1"/>
        <v>4.1</v>
      </c>
      <c r="H47" s="6">
        <f>iferror(VLOOKUP(B47,usage!A:B,2,false), "NOT ACTIVE")</f>
        <v>16.2</v>
      </c>
      <c r="I47" s="6">
        <f t="array" ref="I47">INDEX(DvP!$B$2:$F$31,MATCH($E47,DvP!$A$2:$A$31,0),MATCH($A47,DvP!$B$1:$F$1,0))</f>
        <v>65.2</v>
      </c>
      <c r="J47" s="8">
        <f t="array" ref="J47">INDEX(DvA!$B$2:$I$31,MATCH($E47,DvA!$A$2:$A$31,0),MATCH($K47,DvA!$B$1:$I$1,0))</f>
        <v>13.5</v>
      </c>
      <c r="K47" s="8" t="str">
        <f>VLOOKUP(B47,archtypes!A:B,2,false)</f>
        <v>Versatile Big</v>
      </c>
      <c r="L47" s="8">
        <f t="shared" si="2"/>
        <v>30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16</v>
      </c>
      <c r="B48" s="1" t="s">
        <v>75</v>
      </c>
      <c r="C48" s="2">
        <v>5900.0</v>
      </c>
      <c r="D48" s="1" t="s">
        <v>22</v>
      </c>
      <c r="E48" s="1" t="s">
        <v>21</v>
      </c>
      <c r="F48" s="7">
        <f>iferror(VLOOKUP(B48,projections!A:B,2,false), "NOT ACTIVE")</f>
        <v>29.7</v>
      </c>
      <c r="G48" s="8">
        <f t="shared" si="1"/>
        <v>5.033898305</v>
      </c>
      <c r="H48" s="6">
        <f>iferror(VLOOKUP(B48,usage!A:B,2,false), "NOT ACTIVE")</f>
        <v>20.8</v>
      </c>
      <c r="I48" s="6">
        <f t="array" ref="I48">INDEX(DvP!$B$2:$F$31,MATCH($E48,DvP!$A$2:$A$31,0),MATCH($A48,DvP!$B$1:$F$1,0))</f>
        <v>47.32</v>
      </c>
      <c r="J48" s="8">
        <f t="array" ref="J48">INDEX(DvA!$B$2:$I$31,MATCH($E48,DvA!$A$2:$A$31,0),MATCH($K48,DvA!$B$1:$I$1,0))</f>
        <v>18.07</v>
      </c>
      <c r="K48" s="8" t="str">
        <f>VLOOKUP(B48,archtypes!A:B,2,false)</f>
        <v>Versatile Big</v>
      </c>
      <c r="L48" s="8">
        <f t="shared" si="2"/>
        <v>29.5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 t="s">
        <v>38</v>
      </c>
      <c r="B49" s="1" t="s">
        <v>76</v>
      </c>
      <c r="C49" s="2">
        <v>5900.0</v>
      </c>
      <c r="D49" s="1" t="s">
        <v>22</v>
      </c>
      <c r="E49" s="1" t="s">
        <v>21</v>
      </c>
      <c r="F49" s="7">
        <f>iferror(VLOOKUP(B49,projections!A:B,2,false), "NOT ACTIVE")</f>
        <v>26.8</v>
      </c>
      <c r="G49" s="8">
        <f t="shared" si="1"/>
        <v>4.542372881</v>
      </c>
      <c r="H49" s="6">
        <f>iferror(VLOOKUP(B49,usage!A:B,2,false), "NOT ACTIVE")</f>
        <v>19.8</v>
      </c>
      <c r="I49" s="6">
        <f t="array" ref="I49">INDEX(DvP!$B$2:$F$31,MATCH($E49,DvP!$A$2:$A$31,0),MATCH($A49,DvP!$B$1:$F$1,0))</f>
        <v>48.15</v>
      </c>
      <c r="J49" s="8" t="str">
        <f t="array" ref="J49">INDEX(DvA!$B$2:$I$31,MATCH($E49,DvA!$A$2:$A$31,0),MATCH($K49,DvA!$B$1:$I$1,0))</f>
        <v>#N/A</v>
      </c>
      <c r="K49" s="8" t="str">
        <f>VLOOKUP(B49,archtypes!A:B,2,false)</f>
        <v>#N/A</v>
      </c>
      <c r="L49" s="8">
        <f t="shared" si="2"/>
        <v>29.5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38</v>
      </c>
      <c r="B50" s="1" t="s">
        <v>77</v>
      </c>
      <c r="C50" s="2">
        <v>5900.0</v>
      </c>
      <c r="D50" s="1" t="s">
        <v>28</v>
      </c>
      <c r="E50" s="1" t="s">
        <v>27</v>
      </c>
      <c r="F50" s="7">
        <f>iferror(VLOOKUP(B50,projections!A:B,2,false), "NOT ACTIVE")</f>
        <v>31.3</v>
      </c>
      <c r="G50" s="8">
        <f t="shared" si="1"/>
        <v>5.305084746</v>
      </c>
      <c r="H50" s="6">
        <f>iferror(VLOOKUP(B50,usage!A:B,2,false), "NOT ACTIVE")</f>
        <v>18.3</v>
      </c>
      <c r="I50" s="6">
        <f t="array" ref="I50">INDEX(DvP!$B$2:$F$31,MATCH($E50,DvP!$A$2:$A$31,0),MATCH($A50,DvP!$B$1:$F$1,0))</f>
        <v>38.97</v>
      </c>
      <c r="J50" s="8">
        <f t="array" ref="J50">INDEX(DvA!$B$2:$I$31,MATCH($E50,DvA!$A$2:$A$31,0),MATCH($K50,DvA!$B$1:$I$1,0))</f>
        <v>13.09</v>
      </c>
      <c r="K50" s="8" t="str">
        <f>VLOOKUP(B50,archtypes!A:B,2,false)</f>
        <v>3 and D Wing</v>
      </c>
      <c r="L50" s="8">
        <f t="shared" si="2"/>
        <v>29.5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42</v>
      </c>
      <c r="B51" s="1" t="s">
        <v>78</v>
      </c>
      <c r="C51" s="2">
        <v>5900.0</v>
      </c>
      <c r="D51" s="1" t="s">
        <v>21</v>
      </c>
      <c r="E51" s="1" t="s">
        <v>22</v>
      </c>
      <c r="F51" s="7" t="str">
        <f>iferror(VLOOKUP(B51,projections!A:B,2,false), "NOT ACTIVE")</f>
        <v>NOT ACTIVE</v>
      </c>
      <c r="G51" s="8" t="str">
        <f t="shared" si="1"/>
        <v>NOT ACTIVE</v>
      </c>
      <c r="H51" s="6">
        <f>iferror(VLOOKUP(B51,usage!A:B,2,false), "NOT ACTIVE")</f>
        <v>16.7</v>
      </c>
      <c r="I51" s="6">
        <f t="array" ref="I51">INDEX(DvP!$B$2:$F$31,MATCH($E51,DvP!$A$2:$A$31,0),MATCH($A51,DvP!$B$1:$F$1,0))</f>
        <v>59.84</v>
      </c>
      <c r="J51" s="8">
        <f t="array" ref="J51">INDEX(DvA!$B$2:$I$31,MATCH($E51,DvA!$A$2:$A$31,0),MATCH($K51,DvA!$B$1:$I$1,0))</f>
        <v>17.63</v>
      </c>
      <c r="K51" s="8" t="str">
        <f>VLOOKUP(B51,archtypes!A:B,2,false)</f>
        <v>Versatile Big</v>
      </c>
      <c r="L51" s="8">
        <f t="shared" si="2"/>
        <v>29.5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38</v>
      </c>
      <c r="B52" s="1" t="s">
        <v>79</v>
      </c>
      <c r="C52" s="2">
        <v>5800.0</v>
      </c>
      <c r="D52" s="1" t="s">
        <v>21</v>
      </c>
      <c r="E52" s="1" t="s">
        <v>22</v>
      </c>
      <c r="F52" s="7">
        <f>iferror(VLOOKUP(B52,projections!A:B,2,false), "NOT ACTIVE")</f>
        <v>27.6</v>
      </c>
      <c r="G52" s="8">
        <f t="shared" si="1"/>
        <v>4.75862069</v>
      </c>
      <c r="H52" s="6">
        <f>iferror(VLOOKUP(B52,usage!A:B,2,false), "NOT ACTIVE")</f>
        <v>14.7</v>
      </c>
      <c r="I52" s="6">
        <f t="array" ref="I52">INDEX(DvP!$B$2:$F$31,MATCH($E52,DvP!$A$2:$A$31,0),MATCH($A52,DvP!$B$1:$F$1,0))</f>
        <v>49.36</v>
      </c>
      <c r="J52" s="8" t="str">
        <f t="array" ref="J52">INDEX(DvA!$B$2:$I$31,MATCH($E52,DvA!$A$2:$A$31,0),MATCH($K52,DvA!$B$1:$I$1,0))</f>
        <v>#N/A</v>
      </c>
      <c r="K52" s="8" t="str">
        <f>VLOOKUP(B52,archtypes!A:B,2,false)</f>
        <v>#N/A</v>
      </c>
      <c r="L52" s="8">
        <f t="shared" si="2"/>
        <v>29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 t="s">
        <v>42</v>
      </c>
      <c r="B53" s="1" t="s">
        <v>80</v>
      </c>
      <c r="C53" s="2">
        <v>5800.0</v>
      </c>
      <c r="D53" s="1" t="s">
        <v>27</v>
      </c>
      <c r="E53" s="1" t="s">
        <v>28</v>
      </c>
      <c r="F53" s="7">
        <f>iferror(VLOOKUP(B53,projections!A:B,2,false), "NOT ACTIVE")</f>
        <v>28.4</v>
      </c>
      <c r="G53" s="8">
        <f t="shared" si="1"/>
        <v>4.896551724</v>
      </c>
      <c r="H53" s="6">
        <f>iferror(VLOOKUP(B53,usage!A:B,2,false), "NOT ACTIVE")</f>
        <v>16.1</v>
      </c>
      <c r="I53" s="6">
        <f t="array" ref="I53">INDEX(DvP!$B$2:$F$31,MATCH($E53,DvP!$A$2:$A$31,0),MATCH($A53,DvP!$B$1:$F$1,0))</f>
        <v>53.95</v>
      </c>
      <c r="J53" s="8" t="str">
        <f t="array" ref="J53">INDEX(DvA!$B$2:$I$31,MATCH($E53,DvA!$A$2:$A$31,0),MATCH($K53,DvA!$B$1:$I$1,0))</f>
        <v>#N/A</v>
      </c>
      <c r="K53" s="8" t="str">
        <f>VLOOKUP(B53,archtypes!A:B,2,false)</f>
        <v>#N/A</v>
      </c>
      <c r="L53" s="8">
        <f t="shared" si="2"/>
        <v>29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42</v>
      </c>
      <c r="B54" s="1" t="s">
        <v>81</v>
      </c>
      <c r="C54" s="2">
        <v>5700.0</v>
      </c>
      <c r="D54" s="1" t="s">
        <v>19</v>
      </c>
      <c r="E54" s="1" t="s">
        <v>18</v>
      </c>
      <c r="F54" s="7">
        <f>iferror(VLOOKUP(B54,projections!A:B,2,false), "NOT ACTIVE")</f>
        <v>26.5</v>
      </c>
      <c r="G54" s="8">
        <f t="shared" si="1"/>
        <v>4.649122807</v>
      </c>
      <c r="H54" s="6">
        <f>iferror(VLOOKUP(B54,usage!A:B,2,false), "NOT ACTIVE")</f>
        <v>13.1</v>
      </c>
      <c r="I54" s="6">
        <f t="array" ref="I54">INDEX(DvP!$B$2:$F$31,MATCH($E54,DvP!$A$2:$A$31,0),MATCH($A54,DvP!$B$1:$F$1,0))</f>
        <v>51.47</v>
      </c>
      <c r="J54" s="8">
        <f t="array" ref="J54">INDEX(DvA!$B$2:$I$31,MATCH($E54,DvA!$A$2:$A$31,0),MATCH($K54,DvA!$B$1:$I$1,0))</f>
        <v>26.5</v>
      </c>
      <c r="K54" s="8" t="str">
        <f>VLOOKUP(B54,archtypes!A:B,2,false)</f>
        <v>Post Big</v>
      </c>
      <c r="L54" s="8">
        <f t="shared" si="2"/>
        <v>28.5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32</v>
      </c>
      <c r="B55" s="1" t="s">
        <v>82</v>
      </c>
      <c r="C55" s="2">
        <v>5700.0</v>
      </c>
      <c r="D55" s="1" t="s">
        <v>27</v>
      </c>
      <c r="E55" s="1" t="s">
        <v>28</v>
      </c>
      <c r="F55" s="7">
        <f>iferror(VLOOKUP(B55,projections!A:B,2,false), "NOT ACTIVE")</f>
        <v>27.3</v>
      </c>
      <c r="G55" s="8">
        <f t="shared" si="1"/>
        <v>4.789473684</v>
      </c>
      <c r="H55" s="6">
        <f>iferror(VLOOKUP(B55,usage!A:B,2,false), "NOT ACTIVE")</f>
        <v>17.8</v>
      </c>
      <c r="I55" s="6">
        <f t="array" ref="I55">INDEX(DvP!$B$2:$F$31,MATCH($E55,DvP!$A$2:$A$31,0),MATCH($A55,DvP!$B$1:$F$1,0))</f>
        <v>42.5</v>
      </c>
      <c r="J55" s="8">
        <f t="array" ref="J55">INDEX(DvA!$B$2:$I$31,MATCH($E55,DvA!$A$2:$A$31,0),MATCH($K55,DvA!$B$1:$I$1,0))</f>
        <v>43.89</v>
      </c>
      <c r="K55" s="8" t="str">
        <f>VLOOKUP(B55,archtypes!A:B,2,false)</f>
        <v>Combo Guard</v>
      </c>
      <c r="L55" s="8">
        <f t="shared" si="2"/>
        <v>28.5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 t="s">
        <v>38</v>
      </c>
      <c r="B56" s="1" t="s">
        <v>83</v>
      </c>
      <c r="C56" s="2">
        <v>5700.0</v>
      </c>
      <c r="D56" s="1" t="s">
        <v>14</v>
      </c>
      <c r="E56" s="1" t="s">
        <v>15</v>
      </c>
      <c r="F56" s="7">
        <f>iferror(VLOOKUP(B56,projections!A:B,2,false), "NOT ACTIVE")</f>
        <v>25.4</v>
      </c>
      <c r="G56" s="8">
        <f t="shared" si="1"/>
        <v>4.456140351</v>
      </c>
      <c r="H56" s="6">
        <f>iferror(VLOOKUP(B56,usage!A:B,2,false), "NOT ACTIVE")</f>
        <v>17.8</v>
      </c>
      <c r="I56" s="6">
        <f t="array" ref="I56">INDEX(DvP!$B$2:$F$31,MATCH($E56,DvP!$A$2:$A$31,0),MATCH($A56,DvP!$B$1:$F$1,0))</f>
        <v>35.5</v>
      </c>
      <c r="J56" s="8">
        <f t="array" ref="J56">INDEX(DvA!$B$2:$I$31,MATCH($E56,DvA!$A$2:$A$31,0),MATCH($K56,DvA!$B$1:$I$1,0))</f>
        <v>32.04</v>
      </c>
      <c r="K56" s="8" t="str">
        <f>VLOOKUP(B56,archtypes!A:B,2,false)</f>
        <v>Versatile Forward</v>
      </c>
      <c r="L56" s="8">
        <f t="shared" si="2"/>
        <v>28.5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 t="s">
        <v>16</v>
      </c>
      <c r="B57" s="1" t="s">
        <v>84</v>
      </c>
      <c r="C57" s="2">
        <v>5600.0</v>
      </c>
      <c r="D57" s="1" t="s">
        <v>27</v>
      </c>
      <c r="E57" s="1" t="s">
        <v>28</v>
      </c>
      <c r="F57" s="7">
        <f>iferror(VLOOKUP(B57,projections!A:B,2,false), "NOT ACTIVE")</f>
        <v>24.3</v>
      </c>
      <c r="G57" s="8">
        <f t="shared" si="1"/>
        <v>4.339285714</v>
      </c>
      <c r="H57" s="6">
        <f>iferror(VLOOKUP(B57,usage!A:B,2,false), "NOT ACTIVE")</f>
        <v>14.8</v>
      </c>
      <c r="I57" s="6">
        <f t="array" ref="I57">INDEX(DvP!$B$2:$F$31,MATCH($E57,DvP!$A$2:$A$31,0),MATCH($A57,DvP!$B$1:$F$1,0))</f>
        <v>39.92</v>
      </c>
      <c r="J57" s="8">
        <f t="array" ref="J57">INDEX(DvA!$B$2:$I$31,MATCH($E57,DvA!$A$2:$A$31,0),MATCH($K57,DvA!$B$1:$I$1,0))</f>
        <v>32.31</v>
      </c>
      <c r="K57" s="8" t="str">
        <f>VLOOKUP(B57,archtypes!A:B,2,false)</f>
        <v>Post Big</v>
      </c>
      <c r="L57" s="8">
        <f t="shared" si="2"/>
        <v>28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 t="s">
        <v>38</v>
      </c>
      <c r="B58" s="1" t="s">
        <v>85</v>
      </c>
      <c r="C58" s="2">
        <v>5600.0</v>
      </c>
      <c r="D58" s="1" t="s">
        <v>30</v>
      </c>
      <c r="E58" s="1" t="s">
        <v>31</v>
      </c>
      <c r="F58" s="7">
        <f>iferror(VLOOKUP(B58,projections!A:B,2,false), "NOT ACTIVE")</f>
        <v>28.8</v>
      </c>
      <c r="G58" s="8">
        <f t="shared" si="1"/>
        <v>5.142857143</v>
      </c>
      <c r="H58" s="6">
        <f>iferror(VLOOKUP(B58,usage!A:B,2,false), "NOT ACTIVE")</f>
        <v>22.4</v>
      </c>
      <c r="I58" s="6">
        <f t="array" ref="I58">INDEX(DvP!$B$2:$F$31,MATCH($E58,DvP!$A$2:$A$31,0),MATCH($A58,DvP!$B$1:$F$1,0))</f>
        <v>42.62</v>
      </c>
      <c r="J58" s="8">
        <f t="array" ref="J58">INDEX(DvA!$B$2:$I$31,MATCH($E58,DvA!$A$2:$A$31,0),MATCH($K58,DvA!$B$1:$I$1,0))</f>
        <v>31.57</v>
      </c>
      <c r="K58" s="8" t="str">
        <f>VLOOKUP(B58,archtypes!A:B,2,false)</f>
        <v>Shooting Wing</v>
      </c>
      <c r="L58" s="8">
        <f t="shared" si="2"/>
        <v>28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 t="s">
        <v>16</v>
      </c>
      <c r="B59" s="1" t="s">
        <v>86</v>
      </c>
      <c r="C59" s="2">
        <v>5500.0</v>
      </c>
      <c r="D59" s="1" t="s">
        <v>28</v>
      </c>
      <c r="E59" s="1" t="s">
        <v>27</v>
      </c>
      <c r="F59" s="7">
        <f>iferror(VLOOKUP(B59,projections!A:B,2,false), "NOT ACTIVE")</f>
        <v>34.1</v>
      </c>
      <c r="G59" s="8">
        <f t="shared" si="1"/>
        <v>6.2</v>
      </c>
      <c r="H59" s="6">
        <f>iferror(VLOOKUP(B59,usage!A:B,2,false), "NOT ACTIVE")</f>
        <v>26.9</v>
      </c>
      <c r="I59" s="6">
        <f t="array" ref="I59">INDEX(DvP!$B$2:$F$31,MATCH($E59,DvP!$A$2:$A$31,0),MATCH($A59,DvP!$B$1:$F$1,0))</f>
        <v>48.4</v>
      </c>
      <c r="J59" s="8" t="str">
        <f t="array" ref="J59">INDEX(DvA!$B$2:$I$31,MATCH($E59,DvA!$A$2:$A$31,0),MATCH($K59,DvA!$B$1:$I$1,0))</f>
        <v>#N/A</v>
      </c>
      <c r="K59" s="8" t="str">
        <f>VLOOKUP(B59,archtypes!A:B,2,false)</f>
        <v>#N/A</v>
      </c>
      <c r="L59" s="8">
        <f t="shared" si="2"/>
        <v>27.5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 t="s">
        <v>16</v>
      </c>
      <c r="B60" s="1" t="s">
        <v>87</v>
      </c>
      <c r="C60" s="2">
        <v>5400.0</v>
      </c>
      <c r="D60" s="1" t="s">
        <v>24</v>
      </c>
      <c r="E60" s="1" t="s">
        <v>25</v>
      </c>
      <c r="F60" s="7">
        <f>iferror(VLOOKUP(B60,projections!A:B,2,false), "NOT ACTIVE")</f>
        <v>24.5</v>
      </c>
      <c r="G60" s="8">
        <f t="shared" si="1"/>
        <v>4.537037037</v>
      </c>
      <c r="H60" s="6">
        <f>iferror(VLOOKUP(B60,usage!A:B,2,false), "NOT ACTIVE")</f>
        <v>11</v>
      </c>
      <c r="I60" s="6">
        <f t="array" ref="I60">INDEX(DvP!$B$2:$F$31,MATCH($E60,DvP!$A$2:$A$31,0),MATCH($A60,DvP!$B$1:$F$1,0))</f>
        <v>36.14</v>
      </c>
      <c r="J60" s="8" t="str">
        <f t="array" ref="J60">INDEX(DvA!$B$2:$I$31,MATCH($E60,DvA!$A$2:$A$31,0),MATCH($K60,DvA!$B$1:$I$1,0))</f>
        <v>#N/A</v>
      </c>
      <c r="K60" s="8" t="str">
        <f>VLOOKUP(B60,archtypes!A:B,2,false)</f>
        <v>#N/A</v>
      </c>
      <c r="L60" s="8">
        <f t="shared" si="2"/>
        <v>27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 t="s">
        <v>16</v>
      </c>
      <c r="B61" s="1" t="s">
        <v>88</v>
      </c>
      <c r="C61" s="2">
        <v>5300.0</v>
      </c>
      <c r="D61" s="1" t="s">
        <v>30</v>
      </c>
      <c r="E61" s="1" t="s">
        <v>31</v>
      </c>
      <c r="F61" s="7">
        <f>iferror(VLOOKUP(B61,projections!A:B,2,false), "NOT ACTIVE")</f>
        <v>26.4</v>
      </c>
      <c r="G61" s="8">
        <f t="shared" si="1"/>
        <v>4.981132075</v>
      </c>
      <c r="H61" s="6">
        <f>iferror(VLOOKUP(B61,usage!A:B,2,false), "NOT ACTIVE")</f>
        <v>11.6</v>
      </c>
      <c r="I61" s="6">
        <f t="array" ref="I61">INDEX(DvP!$B$2:$F$31,MATCH($E61,DvP!$A$2:$A$31,0),MATCH($A61,DvP!$B$1:$F$1,0))</f>
        <v>54.58</v>
      </c>
      <c r="J61" s="8">
        <f t="array" ref="J61">INDEX(DvA!$B$2:$I$31,MATCH($E61,DvA!$A$2:$A$31,0),MATCH($K61,DvA!$B$1:$I$1,0))</f>
        <v>22.29</v>
      </c>
      <c r="K61" s="8" t="str">
        <f>VLOOKUP(B61,archtypes!A:B,2,false)</f>
        <v>3 and D Wing</v>
      </c>
      <c r="L61" s="8">
        <f t="shared" si="2"/>
        <v>26.5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 t="s">
        <v>38</v>
      </c>
      <c r="B62" s="1" t="s">
        <v>89</v>
      </c>
      <c r="C62" s="2">
        <v>5300.0</v>
      </c>
      <c r="D62" s="1" t="s">
        <v>21</v>
      </c>
      <c r="E62" s="1" t="s">
        <v>22</v>
      </c>
      <c r="F62" s="7">
        <f>iferror(VLOOKUP(B62,projections!A:B,2,false), "NOT ACTIVE")</f>
        <v>16.3</v>
      </c>
      <c r="G62" s="8">
        <f t="shared" si="1"/>
        <v>3.075471698</v>
      </c>
      <c r="H62" s="6">
        <f>iferror(VLOOKUP(B62,usage!A:B,2,false), "NOT ACTIVE")</f>
        <v>18</v>
      </c>
      <c r="I62" s="6">
        <f t="array" ref="I62">INDEX(DvP!$B$2:$F$31,MATCH($E62,DvP!$A$2:$A$31,0),MATCH($A62,DvP!$B$1:$F$1,0))</f>
        <v>49.36</v>
      </c>
      <c r="J62" s="8">
        <f t="array" ref="J62">INDEX(DvA!$B$2:$I$31,MATCH($E62,DvA!$A$2:$A$31,0),MATCH($K62,DvA!$B$1:$I$1,0))</f>
        <v>20.81</v>
      </c>
      <c r="K62" s="8" t="str">
        <f>VLOOKUP(B62,archtypes!A:B,2,false)</f>
        <v>Scoring Wing</v>
      </c>
      <c r="L62" s="8">
        <f t="shared" si="2"/>
        <v>26.5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 t="s">
        <v>32</v>
      </c>
      <c r="B63" s="1" t="s">
        <v>90</v>
      </c>
      <c r="C63" s="2">
        <v>5200.0</v>
      </c>
      <c r="D63" s="1" t="s">
        <v>18</v>
      </c>
      <c r="E63" s="1" t="s">
        <v>19</v>
      </c>
      <c r="F63" s="7">
        <f>iferror(VLOOKUP(B63,projections!A:B,2,false), "NOT ACTIVE")</f>
        <v>22.7</v>
      </c>
      <c r="G63" s="8">
        <f t="shared" si="1"/>
        <v>4.365384615</v>
      </c>
      <c r="H63" s="6">
        <f>iferror(VLOOKUP(B63,usage!A:B,2,false), "NOT ACTIVE")</f>
        <v>16.3</v>
      </c>
      <c r="I63" s="6">
        <f t="array" ref="I63">INDEX(DvP!$B$2:$F$31,MATCH($E63,DvP!$A$2:$A$31,0),MATCH($A63,DvP!$B$1:$F$1,0))</f>
        <v>41.03</v>
      </c>
      <c r="J63" s="8">
        <f t="array" ref="J63">INDEX(DvA!$B$2:$I$31,MATCH($E63,DvA!$A$2:$A$31,0),MATCH($K63,DvA!$B$1:$I$1,0))</f>
        <v>40.04</v>
      </c>
      <c r="K63" s="8" t="str">
        <f>VLOOKUP(B63,archtypes!A:B,2,false)</f>
        <v>Combo Guard</v>
      </c>
      <c r="L63" s="8">
        <f t="shared" si="2"/>
        <v>26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 t="s">
        <v>32</v>
      </c>
      <c r="B64" s="1" t="s">
        <v>91</v>
      </c>
      <c r="C64" s="2">
        <v>5200.0</v>
      </c>
      <c r="D64" s="1" t="s">
        <v>15</v>
      </c>
      <c r="E64" s="1" t="s">
        <v>14</v>
      </c>
      <c r="F64" s="7" t="str">
        <f>iferror(VLOOKUP(B64,projections!A:B,2,false), "NOT ACTIVE")</f>
        <v>NOT ACTIVE</v>
      </c>
      <c r="G64" s="8" t="str">
        <f t="shared" si="1"/>
        <v>NOT ACTIVE</v>
      </c>
      <c r="H64" s="6">
        <f>iferror(VLOOKUP(B64,usage!A:B,2,false), "NOT ACTIVE")</f>
        <v>18.3</v>
      </c>
      <c r="I64" s="6">
        <f t="array" ref="I64">INDEX(DvP!$B$2:$F$31,MATCH($E64,DvP!$A$2:$A$31,0),MATCH($A64,DvP!$B$1:$F$1,0))</f>
        <v>44.13</v>
      </c>
      <c r="J64" s="8" t="str">
        <f t="array" ref="J64">INDEX(DvA!$B$2:$I$31,MATCH($E64,DvA!$A$2:$A$31,0),MATCH($K64,DvA!$B$1:$I$1,0))</f>
        <v>#N/A</v>
      </c>
      <c r="K64" s="8" t="str">
        <f>VLOOKUP(B64,archtypes!A:B,2,false)</f>
        <v>#N/A</v>
      </c>
      <c r="L64" s="8">
        <f t="shared" si="2"/>
        <v>26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 t="s">
        <v>16</v>
      </c>
      <c r="B65" s="1" t="s">
        <v>92</v>
      </c>
      <c r="C65" s="2">
        <v>5200.0</v>
      </c>
      <c r="D65" s="1" t="s">
        <v>19</v>
      </c>
      <c r="E65" s="1" t="s">
        <v>18</v>
      </c>
      <c r="F65" s="7">
        <f>iferror(VLOOKUP(B65,projections!A:B,2,false), "NOT ACTIVE")</f>
        <v>20.2</v>
      </c>
      <c r="G65" s="8">
        <f t="shared" si="1"/>
        <v>3.884615385</v>
      </c>
      <c r="H65" s="6">
        <f>iferror(VLOOKUP(B65,usage!A:B,2,false), "NOT ACTIVE")</f>
        <v>22.9</v>
      </c>
      <c r="I65" s="6">
        <f t="array" ref="I65">INDEX(DvP!$B$2:$F$31,MATCH($E65,DvP!$A$2:$A$31,0),MATCH($A65,DvP!$B$1:$F$1,0))</f>
        <v>45.35</v>
      </c>
      <c r="J65" s="8">
        <f t="array" ref="J65">INDEX(DvA!$B$2:$I$31,MATCH($E65,DvA!$A$2:$A$31,0),MATCH($K65,DvA!$B$1:$I$1,0))</f>
        <v>39.08</v>
      </c>
      <c r="K65" s="8" t="str">
        <f>VLOOKUP(B65,archtypes!A:B,2,false)</f>
        <v>Versatile Forward</v>
      </c>
      <c r="L65" s="8">
        <f t="shared" si="2"/>
        <v>26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 t="s">
        <v>16</v>
      </c>
      <c r="B66" s="1" t="s">
        <v>93</v>
      </c>
      <c r="C66" s="2">
        <v>5100.0</v>
      </c>
      <c r="D66" s="1" t="s">
        <v>18</v>
      </c>
      <c r="E66" s="1" t="s">
        <v>19</v>
      </c>
      <c r="F66" s="7">
        <f>iferror(VLOOKUP(B66,projections!A:B,2,false), "NOT ACTIVE")</f>
        <v>22.4</v>
      </c>
      <c r="G66" s="8">
        <f t="shared" si="1"/>
        <v>4.392156863</v>
      </c>
      <c r="H66" s="6">
        <f>iferror(VLOOKUP(B66,usage!A:B,2,false), "NOT ACTIVE")</f>
        <v>20.1</v>
      </c>
      <c r="I66" s="6">
        <f t="array" ref="I66">INDEX(DvP!$B$2:$F$31,MATCH($E66,DvP!$A$2:$A$31,0),MATCH($A66,DvP!$B$1:$F$1,0))</f>
        <v>44.43</v>
      </c>
      <c r="J66" s="8">
        <f t="array" ref="J66">INDEX(DvA!$B$2:$I$31,MATCH($E66,DvA!$A$2:$A$31,0),MATCH($K66,DvA!$B$1:$I$1,0))</f>
        <v>13.5</v>
      </c>
      <c r="K66" s="8" t="str">
        <f>VLOOKUP(B66,archtypes!A:B,2,false)</f>
        <v>Versatile Big</v>
      </c>
      <c r="L66" s="8">
        <f t="shared" si="2"/>
        <v>25.5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 t="s">
        <v>38</v>
      </c>
      <c r="B67" s="1" t="s">
        <v>94</v>
      </c>
      <c r="C67" s="2">
        <v>5100.0</v>
      </c>
      <c r="D67" s="1" t="s">
        <v>24</v>
      </c>
      <c r="E67" s="1" t="s">
        <v>25</v>
      </c>
      <c r="F67" s="7">
        <f>iferror(VLOOKUP(B67,projections!A:B,2,false), "NOT ACTIVE")</f>
        <v>27.2</v>
      </c>
      <c r="G67" s="8">
        <f t="shared" si="1"/>
        <v>5.333333333</v>
      </c>
      <c r="H67" s="6">
        <f>iferror(VLOOKUP(B67,usage!A:B,2,false), "NOT ACTIVE")</f>
        <v>15.9</v>
      </c>
      <c r="I67" s="6">
        <f t="array" ref="I67">INDEX(DvP!$B$2:$F$31,MATCH($E67,DvP!$A$2:$A$31,0),MATCH($A67,DvP!$B$1:$F$1,0))</f>
        <v>40.53</v>
      </c>
      <c r="J67" s="8">
        <f t="array" ref="J67">INDEX(DvA!$B$2:$I$31,MATCH($E67,DvA!$A$2:$A$31,0),MATCH($K67,DvA!$B$1:$I$1,0))</f>
        <v>27.27</v>
      </c>
      <c r="K67" s="8" t="str">
        <f>VLOOKUP(B67,archtypes!A:B,2,false)</f>
        <v>Shooting Wing</v>
      </c>
      <c r="L67" s="8">
        <f t="shared" si="2"/>
        <v>25.5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 t="s">
        <v>32</v>
      </c>
      <c r="B68" s="1" t="s">
        <v>95</v>
      </c>
      <c r="C68" s="2">
        <v>5000.0</v>
      </c>
      <c r="D68" s="1" t="s">
        <v>28</v>
      </c>
      <c r="E68" s="1" t="s">
        <v>27</v>
      </c>
      <c r="F68" s="7">
        <f>iferror(VLOOKUP(B68,projections!A:B,2,false), "NOT ACTIVE")</f>
        <v>29.1</v>
      </c>
      <c r="G68" s="8">
        <f t="shared" si="1"/>
        <v>5.82</v>
      </c>
      <c r="H68" s="6">
        <f>iferror(VLOOKUP(B68,usage!A:B,2,false), "NOT ACTIVE")</f>
        <v>25.2</v>
      </c>
      <c r="I68" s="6">
        <f t="array" ref="I68">INDEX(DvP!$B$2:$F$31,MATCH($E68,DvP!$A$2:$A$31,0),MATCH($A68,DvP!$B$1:$F$1,0))</f>
        <v>39.55</v>
      </c>
      <c r="J68" s="8">
        <f t="array" ref="J68">INDEX(DvA!$B$2:$I$31,MATCH($E68,DvA!$A$2:$A$31,0),MATCH($K68,DvA!$B$1:$I$1,0))</f>
        <v>19.79</v>
      </c>
      <c r="K68" s="8" t="str">
        <f>VLOOKUP(B68,archtypes!A:B,2,false)</f>
        <v>Scoring Wing</v>
      </c>
      <c r="L68" s="8">
        <f t="shared" si="2"/>
        <v>25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" t="s">
        <v>16</v>
      </c>
      <c r="B69" s="1" t="s">
        <v>96</v>
      </c>
      <c r="C69" s="2">
        <v>5000.0</v>
      </c>
      <c r="D69" s="1" t="s">
        <v>31</v>
      </c>
      <c r="E69" s="1" t="s">
        <v>30</v>
      </c>
      <c r="F69" s="7">
        <f>iferror(VLOOKUP(B69,projections!A:B,2,false), "NOT ACTIVE")</f>
        <v>0</v>
      </c>
      <c r="G69" s="8">
        <f t="shared" si="1"/>
        <v>0</v>
      </c>
      <c r="H69" s="6">
        <f>iferror(VLOOKUP(B69,usage!A:B,2,false), "NOT ACTIVE")</f>
        <v>19.5</v>
      </c>
      <c r="I69" s="6">
        <f t="array" ref="I69">INDEX(DvP!$B$2:$F$31,MATCH($E69,DvP!$A$2:$A$31,0),MATCH($A69,DvP!$B$1:$F$1,0))</f>
        <v>51.3</v>
      </c>
      <c r="J69" s="8" t="str">
        <f t="array" ref="J69">INDEX(DvA!$B$2:$I$31,MATCH($E69,DvA!$A$2:$A$31,0),MATCH($K69,DvA!$B$1:$I$1,0))</f>
        <v>#N/A</v>
      </c>
      <c r="K69" s="8" t="str">
        <f>VLOOKUP(B69,archtypes!A:B,2,false)</f>
        <v>#N/A</v>
      </c>
      <c r="L69" s="8">
        <f t="shared" si="2"/>
        <v>25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 t="s">
        <v>42</v>
      </c>
      <c r="B70" s="1" t="s">
        <v>97</v>
      </c>
      <c r="C70" s="2">
        <v>4900.0</v>
      </c>
      <c r="D70" s="1" t="s">
        <v>30</v>
      </c>
      <c r="E70" s="1" t="s">
        <v>31</v>
      </c>
      <c r="F70" s="7">
        <f>iferror(VLOOKUP(B70,projections!A:B,2,false), "NOT ACTIVE")</f>
        <v>20.1</v>
      </c>
      <c r="G70" s="8">
        <f t="shared" si="1"/>
        <v>4.102040816</v>
      </c>
      <c r="H70" s="6">
        <f>iferror(VLOOKUP(B70,usage!A:B,2,false), "NOT ACTIVE")</f>
        <v>17</v>
      </c>
      <c r="I70" s="6">
        <f t="array" ref="I70">INDEX(DvP!$B$2:$F$31,MATCH($E70,DvP!$A$2:$A$31,0),MATCH($A70,DvP!$B$1:$F$1,0))</f>
        <v>55.55</v>
      </c>
      <c r="J70" s="8">
        <f t="array" ref="J70">INDEX(DvA!$B$2:$I$31,MATCH($E70,DvA!$A$2:$A$31,0),MATCH($K70,DvA!$B$1:$I$1,0))</f>
        <v>21.35</v>
      </c>
      <c r="K70" s="8" t="str">
        <f>VLOOKUP(B70,archtypes!A:B,2,false)</f>
        <v>Post Big</v>
      </c>
      <c r="L70" s="8">
        <f t="shared" si="2"/>
        <v>24.5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 t="s">
        <v>32</v>
      </c>
      <c r="B71" s="1" t="s">
        <v>98</v>
      </c>
      <c r="C71" s="2">
        <v>4800.0</v>
      </c>
      <c r="D71" s="1" t="s">
        <v>31</v>
      </c>
      <c r="E71" s="1" t="s">
        <v>30</v>
      </c>
      <c r="F71" s="7">
        <f>iferror(VLOOKUP(B71,projections!A:B,2,false), "NOT ACTIVE")</f>
        <v>31.1</v>
      </c>
      <c r="G71" s="8">
        <f t="shared" si="1"/>
        <v>6.479166667</v>
      </c>
      <c r="H71" s="6">
        <f>iferror(VLOOKUP(B71,usage!A:B,2,false), "NOT ACTIVE")</f>
        <v>23.2</v>
      </c>
      <c r="I71" s="6">
        <f t="array" ref="I71">INDEX(DvP!$B$2:$F$31,MATCH($E71,DvP!$A$2:$A$31,0),MATCH($A71,DvP!$B$1:$F$1,0))</f>
        <v>37.64</v>
      </c>
      <c r="J71" s="8" t="str">
        <f t="array" ref="J71">INDEX(DvA!$B$2:$I$31,MATCH($E71,DvA!$A$2:$A$31,0),MATCH($K71,DvA!$B$1:$I$1,0))</f>
        <v>#N/A</v>
      </c>
      <c r="K71" s="8" t="str">
        <f>VLOOKUP(B71,archtypes!A:B,2,false)</f>
        <v>#N/A</v>
      </c>
      <c r="L71" s="8">
        <f t="shared" si="2"/>
        <v>24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 t="s">
        <v>16</v>
      </c>
      <c r="B72" s="1" t="s">
        <v>99</v>
      </c>
      <c r="C72" s="2">
        <v>4800.0</v>
      </c>
      <c r="D72" s="1" t="s">
        <v>14</v>
      </c>
      <c r="E72" s="1" t="s">
        <v>15</v>
      </c>
      <c r="F72" s="7">
        <f>iferror(VLOOKUP(B72,projections!A:B,2,false), "NOT ACTIVE")</f>
        <v>18.6</v>
      </c>
      <c r="G72" s="8">
        <f t="shared" si="1"/>
        <v>3.875</v>
      </c>
      <c r="H72" s="6">
        <f>iferror(VLOOKUP(B72,usage!A:B,2,false), "NOT ACTIVE")</f>
        <v>15.7</v>
      </c>
      <c r="I72" s="6">
        <f t="array" ref="I72">INDEX(DvP!$B$2:$F$31,MATCH($E72,DvP!$A$2:$A$31,0),MATCH($A72,DvP!$B$1:$F$1,0))</f>
        <v>45.73</v>
      </c>
      <c r="J72" s="8">
        <f t="array" ref="J72">INDEX(DvA!$B$2:$I$31,MATCH($E72,DvA!$A$2:$A$31,0),MATCH($K72,DvA!$B$1:$I$1,0))</f>
        <v>32.04</v>
      </c>
      <c r="K72" s="8" t="str">
        <f>VLOOKUP(B72,archtypes!A:B,2,false)</f>
        <v>Versatile Forward</v>
      </c>
      <c r="L72" s="8">
        <f t="shared" si="2"/>
        <v>24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12</v>
      </c>
      <c r="B73" s="1" t="s">
        <v>100</v>
      </c>
      <c r="C73" s="2">
        <v>4800.0</v>
      </c>
      <c r="D73" s="1" t="s">
        <v>14</v>
      </c>
      <c r="E73" s="1" t="s">
        <v>15</v>
      </c>
      <c r="F73" s="7">
        <f>iferror(VLOOKUP(B73,projections!A:B,2,false), "NOT ACTIVE")</f>
        <v>23</v>
      </c>
      <c r="G73" s="8">
        <f t="shared" si="1"/>
        <v>4.791666667</v>
      </c>
      <c r="H73" s="6">
        <f>iferror(VLOOKUP(B73,usage!A:B,2,false), "NOT ACTIVE")</f>
        <v>15.5</v>
      </c>
      <c r="I73" s="6">
        <f t="array" ref="I73">INDEX(DvP!$B$2:$F$31,MATCH($E73,DvP!$A$2:$A$31,0),MATCH($A73,DvP!$B$1:$F$1,0))</f>
        <v>49.13</v>
      </c>
      <c r="J73" s="8">
        <f t="array" ref="J73">INDEX(DvA!$B$2:$I$31,MATCH($E73,DvA!$A$2:$A$31,0),MATCH($K73,DvA!$B$1:$I$1,0))</f>
        <v>23</v>
      </c>
      <c r="K73" s="8" t="str">
        <f>VLOOKUP(B73,archtypes!A:B,2,false)</f>
        <v>Distributor</v>
      </c>
      <c r="L73" s="8">
        <f t="shared" si="2"/>
        <v>24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 t="s">
        <v>38</v>
      </c>
      <c r="B74" s="1" t="s">
        <v>101</v>
      </c>
      <c r="C74" s="2">
        <v>4800.0</v>
      </c>
      <c r="D74" s="1" t="s">
        <v>27</v>
      </c>
      <c r="E74" s="1" t="s">
        <v>28</v>
      </c>
      <c r="F74" s="7">
        <f>iferror(VLOOKUP(B74,projections!A:B,2,false), "NOT ACTIVE")</f>
        <v>24</v>
      </c>
      <c r="G74" s="8">
        <f t="shared" si="1"/>
        <v>5</v>
      </c>
      <c r="H74" s="6">
        <f>iferror(VLOOKUP(B74,usage!A:B,2,false), "NOT ACTIVE")</f>
        <v>14.7</v>
      </c>
      <c r="I74" s="6">
        <f t="array" ref="I74">INDEX(DvP!$B$2:$F$31,MATCH($E74,DvP!$A$2:$A$31,0),MATCH($A74,DvP!$B$1:$F$1,0))</f>
        <v>38.5</v>
      </c>
      <c r="J74" s="8">
        <f t="array" ref="J74">INDEX(DvA!$B$2:$I$31,MATCH($E74,DvA!$A$2:$A$31,0),MATCH($K74,DvA!$B$1:$I$1,0))</f>
        <v>35.24</v>
      </c>
      <c r="K74" s="8" t="str">
        <f>VLOOKUP(B74,archtypes!A:B,2,false)</f>
        <v>Versatile Forward</v>
      </c>
      <c r="L74" s="8">
        <f t="shared" si="2"/>
        <v>24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 t="s">
        <v>32</v>
      </c>
      <c r="B75" s="1" t="s">
        <v>102</v>
      </c>
      <c r="C75" s="2">
        <v>4700.0</v>
      </c>
      <c r="D75" s="1" t="s">
        <v>15</v>
      </c>
      <c r="E75" s="1" t="s">
        <v>14</v>
      </c>
      <c r="F75" s="7">
        <f>iferror(VLOOKUP(B75,projections!A:B,2,false), "NOT ACTIVE")</f>
        <v>19.2</v>
      </c>
      <c r="G75" s="8">
        <f t="shared" si="1"/>
        <v>4.085106383</v>
      </c>
      <c r="H75" s="6">
        <f>iferror(VLOOKUP(B75,usage!A:B,2,false), "NOT ACTIVE")</f>
        <v>16.7</v>
      </c>
      <c r="I75" s="6">
        <f t="array" ref="I75">INDEX(DvP!$B$2:$F$31,MATCH($E75,DvP!$A$2:$A$31,0),MATCH($A75,DvP!$B$1:$F$1,0))</f>
        <v>44.13</v>
      </c>
      <c r="J75" s="8">
        <f t="array" ref="J75">INDEX(DvA!$B$2:$I$31,MATCH($E75,DvA!$A$2:$A$31,0),MATCH($K75,DvA!$B$1:$I$1,0))</f>
        <v>25.81</v>
      </c>
      <c r="K75" s="8" t="str">
        <f>VLOOKUP(B75,archtypes!A:B,2,false)</f>
        <v>Shooting Wing</v>
      </c>
      <c r="L75" s="8">
        <f t="shared" si="2"/>
        <v>23.5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 t="s">
        <v>38</v>
      </c>
      <c r="B76" s="1" t="s">
        <v>103</v>
      </c>
      <c r="C76" s="2">
        <v>4700.0</v>
      </c>
      <c r="D76" s="1" t="s">
        <v>30</v>
      </c>
      <c r="E76" s="1" t="s">
        <v>31</v>
      </c>
      <c r="F76" s="7">
        <f>iferror(VLOOKUP(B76,projections!A:B,2,false), "NOT ACTIVE")</f>
        <v>22.1</v>
      </c>
      <c r="G76" s="8">
        <f t="shared" si="1"/>
        <v>4.70212766</v>
      </c>
      <c r="H76" s="6">
        <f>iferror(VLOOKUP(B76,usage!A:B,2,false), "NOT ACTIVE")</f>
        <v>22.9</v>
      </c>
      <c r="I76" s="6">
        <f t="array" ref="I76">INDEX(DvP!$B$2:$F$31,MATCH($E76,DvP!$A$2:$A$31,0),MATCH($A76,DvP!$B$1:$F$1,0))</f>
        <v>42.62</v>
      </c>
      <c r="J76" s="8">
        <f t="array" ref="J76">INDEX(DvA!$B$2:$I$31,MATCH($E76,DvA!$A$2:$A$31,0),MATCH($K76,DvA!$B$1:$I$1,0))</f>
        <v>34.54</v>
      </c>
      <c r="K76" s="8" t="str">
        <f>VLOOKUP(B76,archtypes!A:B,2,false)</f>
        <v>Versatile Forward</v>
      </c>
      <c r="L76" s="8">
        <f t="shared" si="2"/>
        <v>23.5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 t="s">
        <v>38</v>
      </c>
      <c r="B77" s="1" t="s">
        <v>104</v>
      </c>
      <c r="C77" s="2">
        <v>4600.0</v>
      </c>
      <c r="D77" s="1" t="s">
        <v>31</v>
      </c>
      <c r="E77" s="1" t="s">
        <v>30</v>
      </c>
      <c r="F77" s="7">
        <f>iferror(VLOOKUP(B77,projections!A:B,2,false), "NOT ACTIVE")</f>
        <v>13.4</v>
      </c>
      <c r="G77" s="8">
        <f t="shared" si="1"/>
        <v>2.913043478</v>
      </c>
      <c r="H77" s="6">
        <f>iferror(VLOOKUP(B77,usage!A:B,2,false), "NOT ACTIVE")</f>
        <v>11.6</v>
      </c>
      <c r="I77" s="6">
        <f t="array" ref="I77">INDEX(DvP!$B$2:$F$31,MATCH($E77,DvP!$A$2:$A$31,0),MATCH($A77,DvP!$B$1:$F$1,0))</f>
        <v>42.78</v>
      </c>
      <c r="J77" s="8" t="str">
        <f t="array" ref="J77">INDEX(DvA!$B$2:$I$31,MATCH($E77,DvA!$A$2:$A$31,0),MATCH($K77,DvA!$B$1:$I$1,0))</f>
        <v>#N/A</v>
      </c>
      <c r="K77" s="8" t="str">
        <f>VLOOKUP(B77,archtypes!A:B,2,false)</f>
        <v>#N/A</v>
      </c>
      <c r="L77" s="8">
        <f t="shared" si="2"/>
        <v>23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 t="s">
        <v>32</v>
      </c>
      <c r="B78" s="1" t="s">
        <v>105</v>
      </c>
      <c r="C78" s="2">
        <v>4600.0</v>
      </c>
      <c r="D78" s="1" t="s">
        <v>21</v>
      </c>
      <c r="E78" s="1" t="s">
        <v>22</v>
      </c>
      <c r="F78" s="7">
        <f>iferror(VLOOKUP(B78,projections!A:B,2,false), "NOT ACTIVE")</f>
        <v>0.4</v>
      </c>
      <c r="G78" s="8">
        <f t="shared" si="1"/>
        <v>0.08695652174</v>
      </c>
      <c r="H78" s="6">
        <f>iferror(VLOOKUP(B78,usage!A:B,2,false), "NOT ACTIVE")</f>
        <v>19</v>
      </c>
      <c r="I78" s="6">
        <f t="array" ref="I78">INDEX(DvP!$B$2:$F$31,MATCH($E78,DvP!$A$2:$A$31,0),MATCH($A78,DvP!$B$1:$F$1,0))</f>
        <v>45.77</v>
      </c>
      <c r="J78" s="8" t="str">
        <f t="array" ref="J78">INDEX(DvA!$B$2:$I$31,MATCH($E78,DvA!$A$2:$A$31,0),MATCH($K78,DvA!$B$1:$I$1,0))</f>
        <v>#N/A</v>
      </c>
      <c r="K78" s="8" t="str">
        <f>VLOOKUP(B78,archtypes!A:B,2,false)</f>
        <v>#N/A</v>
      </c>
      <c r="L78" s="8">
        <f t="shared" si="2"/>
        <v>23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 t="s">
        <v>16</v>
      </c>
      <c r="B79" s="1" t="s">
        <v>106</v>
      </c>
      <c r="C79" s="2">
        <v>4600.0</v>
      </c>
      <c r="D79" s="1" t="s">
        <v>25</v>
      </c>
      <c r="E79" s="1" t="s">
        <v>24</v>
      </c>
      <c r="F79" s="7">
        <f>iferror(VLOOKUP(B79,projections!A:B,2,false), "NOT ACTIVE")</f>
        <v>21.8</v>
      </c>
      <c r="G79" s="8">
        <f t="shared" si="1"/>
        <v>4.739130435</v>
      </c>
      <c r="H79" s="6">
        <f>iferror(VLOOKUP(B79,usage!A:B,2,false), "NOT ACTIVE")</f>
        <v>9.3</v>
      </c>
      <c r="I79" s="6">
        <f t="array" ref="I79">INDEX(DvP!$B$2:$F$31,MATCH($E79,DvP!$A$2:$A$31,0),MATCH($A79,DvP!$B$1:$F$1,0))</f>
        <v>48.67</v>
      </c>
      <c r="J79" s="8">
        <f t="array" ref="J79">INDEX(DvA!$B$2:$I$31,MATCH($E79,DvA!$A$2:$A$31,0),MATCH($K79,DvA!$B$1:$I$1,0))</f>
        <v>22.69</v>
      </c>
      <c r="K79" s="8" t="str">
        <f>VLOOKUP(B79,archtypes!A:B,2,false)</f>
        <v>3 and D Wing</v>
      </c>
      <c r="L79" s="8">
        <f t="shared" si="2"/>
        <v>23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 t="s">
        <v>32</v>
      </c>
      <c r="B80" s="1" t="s">
        <v>107</v>
      </c>
      <c r="C80" s="2">
        <v>4600.0</v>
      </c>
      <c r="D80" s="1" t="s">
        <v>28</v>
      </c>
      <c r="E80" s="1" t="s">
        <v>27</v>
      </c>
      <c r="F80" s="7">
        <f>iferror(VLOOKUP(B80,projections!A:B,2,false), "NOT ACTIVE")</f>
        <v>17.1</v>
      </c>
      <c r="G80" s="8">
        <f t="shared" si="1"/>
        <v>3.717391304</v>
      </c>
      <c r="H80" s="6">
        <f>iferror(VLOOKUP(B80,usage!A:B,2,false), "NOT ACTIVE")</f>
        <v>15.7</v>
      </c>
      <c r="I80" s="6">
        <f t="array" ref="I80">INDEX(DvP!$B$2:$F$31,MATCH($E80,DvP!$A$2:$A$31,0),MATCH($A80,DvP!$B$1:$F$1,0))</f>
        <v>39.55</v>
      </c>
      <c r="J80" s="8">
        <f t="array" ref="J80">INDEX(DvA!$B$2:$I$31,MATCH($E80,DvA!$A$2:$A$31,0),MATCH($K80,DvA!$B$1:$I$1,0))</f>
        <v>56.15</v>
      </c>
      <c r="K80" s="8" t="str">
        <f>VLOOKUP(B80,archtypes!A:B,2,false)</f>
        <v>Combo Guard</v>
      </c>
      <c r="L80" s="8">
        <f t="shared" si="2"/>
        <v>23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 t="s">
        <v>32</v>
      </c>
      <c r="B81" s="1" t="s">
        <v>108</v>
      </c>
      <c r="C81" s="2">
        <v>4500.0</v>
      </c>
      <c r="D81" s="1" t="s">
        <v>31</v>
      </c>
      <c r="E81" s="1" t="s">
        <v>30</v>
      </c>
      <c r="F81" s="7">
        <f>iferror(VLOOKUP(B81,projections!A:B,2,false), "NOT ACTIVE")</f>
        <v>15.1</v>
      </c>
      <c r="G81" s="8">
        <f t="shared" si="1"/>
        <v>3.355555556</v>
      </c>
      <c r="H81" s="6">
        <f>iferror(VLOOKUP(B81,usage!A:B,2,false), "NOT ACTIVE")</f>
        <v>16.9</v>
      </c>
      <c r="I81" s="6">
        <f t="array" ref="I81">INDEX(DvP!$B$2:$F$31,MATCH($E81,DvP!$A$2:$A$31,0),MATCH($A81,DvP!$B$1:$F$1,0))</f>
        <v>37.64</v>
      </c>
      <c r="J81" s="8" t="str">
        <f t="array" ref="J81">INDEX(DvA!$B$2:$I$31,MATCH($E81,DvA!$A$2:$A$31,0),MATCH($K81,DvA!$B$1:$I$1,0))</f>
        <v>#N/A</v>
      </c>
      <c r="K81" s="8" t="str">
        <f>VLOOKUP(B81,archtypes!A:B,2,false)</f>
        <v>#N/A</v>
      </c>
      <c r="L81" s="8">
        <f t="shared" si="2"/>
        <v>22.5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 t="s">
        <v>42</v>
      </c>
      <c r="B82" s="1" t="s">
        <v>109</v>
      </c>
      <c r="C82" s="2">
        <v>4500.0</v>
      </c>
      <c r="D82" s="1" t="s">
        <v>27</v>
      </c>
      <c r="E82" s="1" t="s">
        <v>28</v>
      </c>
      <c r="F82" s="7">
        <f>iferror(VLOOKUP(B82,projections!A:B,2,false), "NOT ACTIVE")</f>
        <v>0</v>
      </c>
      <c r="G82" s="8">
        <f t="shared" si="1"/>
        <v>0</v>
      </c>
      <c r="H82" s="6">
        <f>iferror(VLOOKUP(B82,usage!A:B,2,false), "NOT ACTIVE")</f>
        <v>11.8</v>
      </c>
      <c r="I82" s="6">
        <f t="array" ref="I82">INDEX(DvP!$B$2:$F$31,MATCH($E82,DvP!$A$2:$A$31,0),MATCH($A82,DvP!$B$1:$F$1,0))</f>
        <v>53.95</v>
      </c>
      <c r="J82" s="8">
        <f t="array" ref="J82">INDEX(DvA!$B$2:$I$31,MATCH($E82,DvA!$A$2:$A$31,0),MATCH($K82,DvA!$B$1:$I$1,0))</f>
        <v>32.31</v>
      </c>
      <c r="K82" s="8" t="str">
        <f>VLOOKUP(B82,archtypes!A:B,2,false)</f>
        <v>Post Big</v>
      </c>
      <c r="L82" s="8">
        <f t="shared" si="2"/>
        <v>22.5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 t="s">
        <v>12</v>
      </c>
      <c r="B83" s="1" t="s">
        <v>110</v>
      </c>
      <c r="C83" s="2">
        <v>4500.0</v>
      </c>
      <c r="D83" s="1" t="s">
        <v>18</v>
      </c>
      <c r="E83" s="1" t="s">
        <v>19</v>
      </c>
      <c r="F83" s="7">
        <f>iferror(VLOOKUP(B83,projections!A:B,2,false), "NOT ACTIVE")</f>
        <v>6</v>
      </c>
      <c r="G83" s="8">
        <f t="shared" si="1"/>
        <v>1.333333333</v>
      </c>
      <c r="H83" s="6">
        <f>iferror(VLOOKUP(B83,usage!A:B,2,false), "NOT ACTIVE")</f>
        <v>17.9</v>
      </c>
      <c r="I83" s="6">
        <f t="array" ref="I83">INDEX(DvP!$B$2:$F$31,MATCH($E83,DvP!$A$2:$A$31,0),MATCH($A83,DvP!$B$1:$F$1,0))</f>
        <v>44.74</v>
      </c>
      <c r="J83" s="8">
        <f t="array" ref="J83">INDEX(DvA!$B$2:$I$31,MATCH($E83,DvA!$A$2:$A$31,0),MATCH($K83,DvA!$B$1:$I$1,0))</f>
        <v>29.69</v>
      </c>
      <c r="K83" s="8" t="str">
        <f>VLOOKUP(B83,archtypes!A:B,2,false)</f>
        <v>Shooting Wing</v>
      </c>
      <c r="L83" s="8">
        <f t="shared" si="2"/>
        <v>22.5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 t="s">
        <v>38</v>
      </c>
      <c r="B84" s="1" t="s">
        <v>111</v>
      </c>
      <c r="C84" s="2">
        <v>4500.0</v>
      </c>
      <c r="D84" s="1" t="s">
        <v>19</v>
      </c>
      <c r="E84" s="1" t="s">
        <v>18</v>
      </c>
      <c r="F84" s="7">
        <f>iferror(VLOOKUP(B84,projections!A:B,2,false), "NOT ACTIVE")</f>
        <v>24.4</v>
      </c>
      <c r="G84" s="8">
        <f t="shared" si="1"/>
        <v>5.422222222</v>
      </c>
      <c r="H84" s="6">
        <f>iferror(VLOOKUP(B84,usage!A:B,2,false), "NOT ACTIVE")</f>
        <v>18.6</v>
      </c>
      <c r="I84" s="6">
        <f t="array" ref="I84">INDEX(DvP!$B$2:$F$31,MATCH($E84,DvP!$A$2:$A$31,0),MATCH($A84,DvP!$B$1:$F$1,0))</f>
        <v>48.29</v>
      </c>
      <c r="J84" s="8">
        <f t="array" ref="J84">INDEX(DvA!$B$2:$I$31,MATCH($E84,DvA!$A$2:$A$31,0),MATCH($K84,DvA!$B$1:$I$1,0))</f>
        <v>23.46</v>
      </c>
      <c r="K84" s="8" t="str">
        <f>VLOOKUP(B84,archtypes!A:B,2,false)</f>
        <v>Scoring Wing</v>
      </c>
      <c r="L84" s="8">
        <f t="shared" si="2"/>
        <v>22.5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 t="s">
        <v>16</v>
      </c>
      <c r="B85" s="1" t="s">
        <v>112</v>
      </c>
      <c r="C85" s="2">
        <v>4500.0</v>
      </c>
      <c r="D85" s="1" t="s">
        <v>28</v>
      </c>
      <c r="E85" s="1" t="s">
        <v>27</v>
      </c>
      <c r="F85" s="7">
        <f>iferror(VLOOKUP(B85,projections!A:B,2,false), "NOT ACTIVE")</f>
        <v>20.9</v>
      </c>
      <c r="G85" s="8">
        <f t="shared" si="1"/>
        <v>4.644444444</v>
      </c>
      <c r="H85" s="6">
        <f>iferror(VLOOKUP(B85,usage!A:B,2,false), "NOT ACTIVE")</f>
        <v>16.7</v>
      </c>
      <c r="I85" s="6">
        <f t="array" ref="I85">INDEX(DvP!$B$2:$F$31,MATCH($E85,DvP!$A$2:$A$31,0),MATCH($A85,DvP!$B$1:$F$1,0))</f>
        <v>48.4</v>
      </c>
      <c r="J85" s="8">
        <f t="array" ref="J85">INDEX(DvA!$B$2:$I$31,MATCH($E85,DvA!$A$2:$A$31,0),MATCH($K85,DvA!$B$1:$I$1,0))</f>
        <v>38.12</v>
      </c>
      <c r="K85" s="8" t="str">
        <f>VLOOKUP(B85,archtypes!A:B,2,false)</f>
        <v>Versatile Big</v>
      </c>
      <c r="L85" s="8">
        <f t="shared" si="2"/>
        <v>22.5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 t="s">
        <v>16</v>
      </c>
      <c r="B86" s="1" t="s">
        <v>113</v>
      </c>
      <c r="C86" s="2">
        <v>4400.0</v>
      </c>
      <c r="D86" s="1" t="s">
        <v>27</v>
      </c>
      <c r="E86" s="1" t="s">
        <v>28</v>
      </c>
      <c r="F86" s="7">
        <f>iferror(VLOOKUP(B86,projections!A:B,2,false), "NOT ACTIVE")</f>
        <v>28.8</v>
      </c>
      <c r="G86" s="8">
        <f t="shared" si="1"/>
        <v>6.545454545</v>
      </c>
      <c r="H86" s="6">
        <f>iferror(VLOOKUP(B86,usage!A:B,2,false), "NOT ACTIVE")</f>
        <v>16.5</v>
      </c>
      <c r="I86" s="6">
        <f t="array" ref="I86">INDEX(DvP!$B$2:$F$31,MATCH($E86,DvP!$A$2:$A$31,0),MATCH($A86,DvP!$B$1:$F$1,0))</f>
        <v>39.92</v>
      </c>
      <c r="J86" s="8">
        <f t="array" ref="J86">INDEX(DvA!$B$2:$I$31,MATCH($E86,DvA!$A$2:$A$31,0),MATCH($K86,DvA!$B$1:$I$1,0))</f>
        <v>35.24</v>
      </c>
      <c r="K86" s="8" t="str">
        <f>VLOOKUP(B86,archtypes!A:B,2,false)</f>
        <v>Versatile Forward</v>
      </c>
      <c r="L86" s="8">
        <f t="shared" si="2"/>
        <v>22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 t="s">
        <v>32</v>
      </c>
      <c r="B87" s="1" t="s">
        <v>114</v>
      </c>
      <c r="C87" s="2">
        <v>4400.0</v>
      </c>
      <c r="D87" s="1" t="s">
        <v>22</v>
      </c>
      <c r="E87" s="1" t="s">
        <v>21</v>
      </c>
      <c r="F87" s="7">
        <f>iferror(VLOOKUP(B87,projections!A:B,2,false), "NOT ACTIVE")</f>
        <v>20.4</v>
      </c>
      <c r="G87" s="8">
        <f t="shared" si="1"/>
        <v>4.636363636</v>
      </c>
      <c r="H87" s="6">
        <f>iferror(VLOOKUP(B87,usage!A:B,2,false), "NOT ACTIVE")</f>
        <v>13.6</v>
      </c>
      <c r="I87" s="6">
        <f t="array" ref="I87">INDEX(DvP!$B$2:$F$31,MATCH($E87,DvP!$A$2:$A$31,0),MATCH($A87,DvP!$B$1:$F$1,0))</f>
        <v>46.49</v>
      </c>
      <c r="J87" s="8">
        <f t="array" ref="J87">INDEX(DvA!$B$2:$I$31,MATCH($E87,DvA!$A$2:$A$31,0),MATCH($K87,DvA!$B$1:$I$1,0))</f>
        <v>24.46</v>
      </c>
      <c r="K87" s="8" t="str">
        <f>VLOOKUP(B87,archtypes!A:B,2,false)</f>
        <v>3 and D Wing</v>
      </c>
      <c r="L87" s="8">
        <f t="shared" si="2"/>
        <v>22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 t="s">
        <v>38</v>
      </c>
      <c r="B88" s="1" t="s">
        <v>115</v>
      </c>
      <c r="C88" s="2">
        <v>4300.0</v>
      </c>
      <c r="D88" s="1" t="s">
        <v>31</v>
      </c>
      <c r="E88" s="1" t="s">
        <v>30</v>
      </c>
      <c r="F88" s="7" t="str">
        <f>iferror(VLOOKUP(B88,projections!A:B,2,false), "NOT ACTIVE")</f>
        <v>NOT ACTIVE</v>
      </c>
      <c r="G88" s="8" t="str">
        <f t="shared" si="1"/>
        <v>NOT ACTIVE</v>
      </c>
      <c r="H88" s="6">
        <f>iferror(VLOOKUP(B88,usage!A:B,2,false), "NOT ACTIVE")</f>
        <v>15.5</v>
      </c>
      <c r="I88" s="6">
        <f t="array" ref="I88">INDEX(DvP!$B$2:$F$31,MATCH($E88,DvP!$A$2:$A$31,0),MATCH($A88,DvP!$B$1:$F$1,0))</f>
        <v>42.78</v>
      </c>
      <c r="J88" s="8" t="str">
        <f t="array" ref="J88">INDEX(DvA!$B$2:$I$31,MATCH($E88,DvA!$A$2:$A$31,0),MATCH($K88,DvA!$B$1:$I$1,0))</f>
        <v>#N/A</v>
      </c>
      <c r="K88" s="8" t="str">
        <f>VLOOKUP(B88,archtypes!A:B,2,false)</f>
        <v>#N/A</v>
      </c>
      <c r="L88" s="8">
        <f t="shared" si="2"/>
        <v>21.5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 t="s">
        <v>32</v>
      </c>
      <c r="B89" s="1" t="s">
        <v>116</v>
      </c>
      <c r="C89" s="2">
        <v>4300.0</v>
      </c>
      <c r="D89" s="1" t="s">
        <v>19</v>
      </c>
      <c r="E89" s="1" t="s">
        <v>18</v>
      </c>
      <c r="F89" s="7">
        <f>iferror(VLOOKUP(B89,projections!A:B,2,false), "NOT ACTIVE")</f>
        <v>19.9</v>
      </c>
      <c r="G89" s="8">
        <f t="shared" si="1"/>
        <v>4.627906977</v>
      </c>
      <c r="H89" s="6" t="str">
        <f>iferror(VLOOKUP(B89,usage!A:B,2,false), "NOT ACTIVE")</f>
        <v>NOT ACTIVE</v>
      </c>
      <c r="I89" s="6">
        <f t="array" ref="I89">INDEX(DvP!$B$2:$F$31,MATCH($E89,DvP!$A$2:$A$31,0),MATCH($A89,DvP!$B$1:$F$1,0))</f>
        <v>30.06</v>
      </c>
      <c r="J89" s="8">
        <f t="array" ref="J89">INDEX(DvA!$B$2:$I$31,MATCH($E89,DvA!$A$2:$A$31,0),MATCH($K89,DvA!$B$1:$I$1,0))</f>
        <v>23.46</v>
      </c>
      <c r="K89" s="8" t="str">
        <f>VLOOKUP(B89,archtypes!A:B,2,false)</f>
        <v>Scoring Wing</v>
      </c>
      <c r="L89" s="8">
        <f t="shared" si="2"/>
        <v>21.5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 t="s">
        <v>12</v>
      </c>
      <c r="B90" s="1" t="s">
        <v>117</v>
      </c>
      <c r="C90" s="2">
        <v>4300.0</v>
      </c>
      <c r="D90" s="1" t="s">
        <v>27</v>
      </c>
      <c r="E90" s="1" t="s">
        <v>28</v>
      </c>
      <c r="F90" s="7">
        <f>iferror(VLOOKUP(B90,projections!A:B,2,false), "NOT ACTIVE")</f>
        <v>12.2</v>
      </c>
      <c r="G90" s="8">
        <f t="shared" si="1"/>
        <v>2.837209302</v>
      </c>
      <c r="H90" s="6">
        <f>iferror(VLOOKUP(B90,usage!A:B,2,false), "NOT ACTIVE")</f>
        <v>17.6</v>
      </c>
      <c r="I90" s="6">
        <f t="array" ref="I90">INDEX(DvP!$B$2:$F$31,MATCH($E90,DvP!$A$2:$A$31,0),MATCH($A90,DvP!$B$1:$F$1,0))</f>
        <v>49.75</v>
      </c>
      <c r="J90" s="8" t="str">
        <f t="array" ref="J90">INDEX(DvA!$B$2:$I$31,MATCH($E90,DvA!$A$2:$A$31,0),MATCH($K90,DvA!$B$1:$I$1,0))</f>
        <v>#N/A</v>
      </c>
      <c r="K90" s="8" t="str">
        <f>VLOOKUP(B90,archtypes!A:B,2,false)</f>
        <v>#N/A</v>
      </c>
      <c r="L90" s="8">
        <f t="shared" si="2"/>
        <v>21.5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 t="s">
        <v>16</v>
      </c>
      <c r="B91" s="1" t="s">
        <v>118</v>
      </c>
      <c r="C91" s="2">
        <v>4200.0</v>
      </c>
      <c r="D91" s="1" t="s">
        <v>22</v>
      </c>
      <c r="E91" s="1" t="s">
        <v>21</v>
      </c>
      <c r="F91" s="7">
        <f>iferror(VLOOKUP(B91,projections!A:B,2,false), "NOT ACTIVE")</f>
        <v>0</v>
      </c>
      <c r="G91" s="8">
        <f t="shared" si="1"/>
        <v>0</v>
      </c>
      <c r="H91" s="6">
        <f>iferror(VLOOKUP(B91,usage!A:B,2,false), "NOT ACTIVE")</f>
        <v>13.9</v>
      </c>
      <c r="I91" s="6">
        <f t="array" ref="I91">INDEX(DvP!$B$2:$F$31,MATCH($E91,DvP!$A$2:$A$31,0),MATCH($A91,DvP!$B$1:$F$1,0))</f>
        <v>47.32</v>
      </c>
      <c r="J91" s="8" t="str">
        <f t="array" ref="J91">INDEX(DvA!$B$2:$I$31,MATCH($E91,DvA!$A$2:$A$31,0),MATCH($K91,DvA!$B$1:$I$1,0))</f>
        <v>#N/A</v>
      </c>
      <c r="K91" s="8" t="str">
        <f>VLOOKUP(B91,archtypes!A:B,2,false)</f>
        <v>#N/A</v>
      </c>
      <c r="L91" s="8">
        <f t="shared" si="2"/>
        <v>21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 t="s">
        <v>12</v>
      </c>
      <c r="B92" s="1" t="s">
        <v>119</v>
      </c>
      <c r="C92" s="2">
        <v>4200.0</v>
      </c>
      <c r="D92" s="1" t="s">
        <v>21</v>
      </c>
      <c r="E92" s="1" t="s">
        <v>22</v>
      </c>
      <c r="F92" s="7">
        <f>iferror(VLOOKUP(B92,projections!A:B,2,false), "NOT ACTIVE")</f>
        <v>20.3</v>
      </c>
      <c r="G92" s="8">
        <f t="shared" si="1"/>
        <v>4.833333333</v>
      </c>
      <c r="H92" s="6">
        <f>iferror(VLOOKUP(B92,usage!A:B,2,false), "NOT ACTIVE")</f>
        <v>17.5</v>
      </c>
      <c r="I92" s="6">
        <f t="array" ref="I92">INDEX(DvP!$B$2:$F$31,MATCH($E92,DvP!$A$2:$A$31,0),MATCH($A92,DvP!$B$1:$F$1,0))</f>
        <v>55.84</v>
      </c>
      <c r="J92" s="8">
        <f t="array" ref="J92">INDEX(DvA!$B$2:$I$31,MATCH($E92,DvA!$A$2:$A$31,0),MATCH($K92,DvA!$B$1:$I$1,0))</f>
        <v>24.53</v>
      </c>
      <c r="K92" s="8" t="str">
        <f>VLOOKUP(B92,archtypes!A:B,2,false)</f>
        <v>Distributor</v>
      </c>
      <c r="L92" s="8">
        <f t="shared" si="2"/>
        <v>21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 t="s">
        <v>42</v>
      </c>
      <c r="B93" s="1" t="s">
        <v>120</v>
      </c>
      <c r="C93" s="2">
        <v>4200.0</v>
      </c>
      <c r="D93" s="1" t="s">
        <v>14</v>
      </c>
      <c r="E93" s="1" t="s">
        <v>15</v>
      </c>
      <c r="F93" s="7">
        <f>iferror(VLOOKUP(B93,projections!A:B,2,false), "NOT ACTIVE")</f>
        <v>16</v>
      </c>
      <c r="G93" s="8">
        <f t="shared" si="1"/>
        <v>3.80952381</v>
      </c>
      <c r="H93" s="6">
        <f>iferror(VLOOKUP(B93,usage!A:B,2,false), "NOT ACTIVE")</f>
        <v>16.4</v>
      </c>
      <c r="I93" s="6">
        <f t="array" ref="I93">INDEX(DvP!$B$2:$F$31,MATCH($E93,DvP!$A$2:$A$31,0),MATCH($A93,DvP!$B$1:$F$1,0))</f>
        <v>53.39</v>
      </c>
      <c r="J93" s="8">
        <f t="array" ref="J93">INDEX(DvA!$B$2:$I$31,MATCH($E93,DvA!$A$2:$A$31,0),MATCH($K93,DvA!$B$1:$I$1,0))</f>
        <v>23.5</v>
      </c>
      <c r="K93" s="8" t="str">
        <f>VLOOKUP(B93,archtypes!A:B,2,false)</f>
        <v>Post Big</v>
      </c>
      <c r="L93" s="8">
        <f t="shared" si="2"/>
        <v>21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 t="s">
        <v>42</v>
      </c>
      <c r="B94" s="1" t="s">
        <v>121</v>
      </c>
      <c r="C94" s="2">
        <v>4100.0</v>
      </c>
      <c r="D94" s="1" t="s">
        <v>14</v>
      </c>
      <c r="E94" s="1" t="s">
        <v>15</v>
      </c>
      <c r="F94" s="7">
        <f>iferror(VLOOKUP(B94,projections!A:B,2,false), "NOT ACTIVE")</f>
        <v>15.1</v>
      </c>
      <c r="G94" s="8">
        <f t="shared" si="1"/>
        <v>3.682926829</v>
      </c>
      <c r="H94" s="6">
        <f>iferror(VLOOKUP(B94,usage!A:B,2,false), "NOT ACTIVE")</f>
        <v>16.3</v>
      </c>
      <c r="I94" s="6">
        <f t="array" ref="I94">INDEX(DvP!$B$2:$F$31,MATCH($E94,DvP!$A$2:$A$31,0),MATCH($A94,DvP!$B$1:$F$1,0))</f>
        <v>53.39</v>
      </c>
      <c r="J94" s="8">
        <f t="array" ref="J94">INDEX(DvA!$B$2:$I$31,MATCH($E94,DvA!$A$2:$A$31,0),MATCH($K94,DvA!$B$1:$I$1,0))</f>
        <v>23.5</v>
      </c>
      <c r="K94" s="8" t="str">
        <f>VLOOKUP(B94,archtypes!A:B,2,false)</f>
        <v>Post Big</v>
      </c>
      <c r="L94" s="8">
        <f t="shared" si="2"/>
        <v>20.5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 t="s">
        <v>38</v>
      </c>
      <c r="B95" s="1" t="s">
        <v>122</v>
      </c>
      <c r="C95" s="2">
        <v>4100.0</v>
      </c>
      <c r="D95" s="1" t="s">
        <v>21</v>
      </c>
      <c r="E95" s="1" t="s">
        <v>22</v>
      </c>
      <c r="F95" s="7">
        <f>iferror(VLOOKUP(B95,projections!A:B,2,false), "NOT ACTIVE")</f>
        <v>14.4</v>
      </c>
      <c r="G95" s="8">
        <f t="shared" si="1"/>
        <v>3.512195122</v>
      </c>
      <c r="H95" s="6">
        <f>iferror(VLOOKUP(B95,usage!A:B,2,false), "NOT ACTIVE")</f>
        <v>13.8</v>
      </c>
      <c r="I95" s="6">
        <f t="array" ref="I95">INDEX(DvP!$B$2:$F$31,MATCH($E95,DvP!$A$2:$A$31,0),MATCH($A95,DvP!$B$1:$F$1,0))</f>
        <v>49.36</v>
      </c>
      <c r="J95" s="8">
        <f t="array" ref="J95">INDEX(DvA!$B$2:$I$31,MATCH($E95,DvA!$A$2:$A$31,0),MATCH($K95,DvA!$B$1:$I$1,0))</f>
        <v>22.2</v>
      </c>
      <c r="K95" s="8" t="str">
        <f>VLOOKUP(B95,archtypes!A:B,2,false)</f>
        <v>Shooting Wing</v>
      </c>
      <c r="L95" s="8">
        <f t="shared" si="2"/>
        <v>20.5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 t="s">
        <v>12</v>
      </c>
      <c r="B96" s="1" t="s">
        <v>123</v>
      </c>
      <c r="C96" s="2">
        <v>4100.0</v>
      </c>
      <c r="D96" s="1" t="s">
        <v>24</v>
      </c>
      <c r="E96" s="1" t="s">
        <v>25</v>
      </c>
      <c r="F96" s="7">
        <f>iferror(VLOOKUP(B96,projections!A:B,2,false), "NOT ACTIVE")</f>
        <v>21.9</v>
      </c>
      <c r="G96" s="8">
        <f t="shared" si="1"/>
        <v>5.341463415</v>
      </c>
      <c r="H96" s="6">
        <f>iferror(VLOOKUP(B96,usage!A:B,2,false), "NOT ACTIVE")</f>
        <v>24</v>
      </c>
      <c r="I96" s="6">
        <f t="array" ref="I96">INDEX(DvP!$B$2:$F$31,MATCH($E96,DvP!$A$2:$A$31,0),MATCH($A96,DvP!$B$1:$F$1,0))</f>
        <v>40.5</v>
      </c>
      <c r="J96" s="8">
        <f t="array" ref="J96">INDEX(DvA!$B$2:$I$31,MATCH($E96,DvA!$A$2:$A$31,0),MATCH($K96,DvA!$B$1:$I$1,0))</f>
        <v>37.97</v>
      </c>
      <c r="K96" s="8" t="str">
        <f>VLOOKUP(B96,archtypes!A:B,2,false)</f>
        <v>Combo Guard</v>
      </c>
      <c r="L96" s="8">
        <f t="shared" si="2"/>
        <v>20.5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42</v>
      </c>
      <c r="B97" s="1" t="s">
        <v>124</v>
      </c>
      <c r="C97" s="2">
        <v>4100.0</v>
      </c>
      <c r="D97" s="1" t="s">
        <v>21</v>
      </c>
      <c r="E97" s="1" t="s">
        <v>22</v>
      </c>
      <c r="F97" s="7">
        <f>iferror(VLOOKUP(B97,projections!A:B,2,false), "NOT ACTIVE")</f>
        <v>10.9</v>
      </c>
      <c r="G97" s="8">
        <f t="shared" si="1"/>
        <v>2.658536585</v>
      </c>
      <c r="H97" s="6">
        <f>iferror(VLOOKUP(B97,usage!A:B,2,false), "NOT ACTIVE")</f>
        <v>17.1</v>
      </c>
      <c r="I97" s="6">
        <f t="array" ref="I97">INDEX(DvP!$B$2:$F$31,MATCH($E97,DvP!$A$2:$A$31,0),MATCH($A97,DvP!$B$1:$F$1,0))</f>
        <v>59.84</v>
      </c>
      <c r="J97" s="8" t="str">
        <f t="array" ref="J97">INDEX(DvA!$B$2:$I$31,MATCH($E97,DvA!$A$2:$A$31,0),MATCH($K97,DvA!$B$1:$I$1,0))</f>
        <v>#N/A</v>
      </c>
      <c r="K97" s="8" t="str">
        <f>VLOOKUP(B97,archtypes!A:B,2,false)</f>
        <v>#N/A</v>
      </c>
      <c r="L97" s="8">
        <f t="shared" si="2"/>
        <v>20.5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38</v>
      </c>
      <c r="B98" s="1" t="s">
        <v>125</v>
      </c>
      <c r="C98" s="2">
        <v>4100.0</v>
      </c>
      <c r="D98" s="1" t="s">
        <v>31</v>
      </c>
      <c r="E98" s="1" t="s">
        <v>30</v>
      </c>
      <c r="F98" s="7" t="str">
        <f>iferror(VLOOKUP(B98,projections!A:B,2,false), "NOT ACTIVE")</f>
        <v>NOT ACTIVE</v>
      </c>
      <c r="G98" s="8" t="str">
        <f t="shared" si="1"/>
        <v>NOT ACTIVE</v>
      </c>
      <c r="H98" s="6">
        <f>iferror(VLOOKUP(B98,usage!A:B,2,false), "NOT ACTIVE")</f>
        <v>24.6</v>
      </c>
      <c r="I98" s="6">
        <f t="array" ref="I98">INDEX(DvP!$B$2:$F$31,MATCH($E98,DvP!$A$2:$A$31,0),MATCH($A98,DvP!$B$1:$F$1,0))</f>
        <v>42.78</v>
      </c>
      <c r="J98" s="8" t="str">
        <f t="array" ref="J98">INDEX(DvA!$B$2:$I$31,MATCH($E98,DvA!$A$2:$A$31,0),MATCH($K98,DvA!$B$1:$I$1,0))</f>
        <v>#N/A</v>
      </c>
      <c r="K98" s="8" t="str">
        <f>VLOOKUP(B98,archtypes!A:B,2,false)</f>
        <v>#N/A</v>
      </c>
      <c r="L98" s="8">
        <f t="shared" si="2"/>
        <v>20.5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 t="s">
        <v>16</v>
      </c>
      <c r="B99" s="1" t="s">
        <v>126</v>
      </c>
      <c r="C99" s="2">
        <v>4100.0</v>
      </c>
      <c r="D99" s="1" t="s">
        <v>27</v>
      </c>
      <c r="E99" s="1" t="s">
        <v>28</v>
      </c>
      <c r="F99" s="7">
        <f>iferror(VLOOKUP(B99,projections!A:B,2,false), "NOT ACTIVE")</f>
        <v>9.4</v>
      </c>
      <c r="G99" s="8">
        <f t="shared" si="1"/>
        <v>2.292682927</v>
      </c>
      <c r="H99" s="6">
        <f>iferror(VLOOKUP(B99,usage!A:B,2,false), "NOT ACTIVE")</f>
        <v>14.1</v>
      </c>
      <c r="I99" s="6">
        <f t="array" ref="I99">INDEX(DvP!$B$2:$F$31,MATCH($E99,DvP!$A$2:$A$31,0),MATCH($A99,DvP!$B$1:$F$1,0))</f>
        <v>39.92</v>
      </c>
      <c r="J99" s="8" t="str">
        <f t="array" ref="J99">INDEX(DvA!$B$2:$I$31,MATCH($E99,DvA!$A$2:$A$31,0),MATCH($K99,DvA!$B$1:$I$1,0))</f>
        <v>#N/A</v>
      </c>
      <c r="K99" s="8" t="str">
        <f>VLOOKUP(B99,archtypes!A:B,2,false)</f>
        <v>#N/A</v>
      </c>
      <c r="L99" s="8">
        <f t="shared" si="2"/>
        <v>20.5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 t="s">
        <v>42</v>
      </c>
      <c r="B100" s="1" t="s">
        <v>127</v>
      </c>
      <c r="C100" s="2">
        <v>4000.0</v>
      </c>
      <c r="D100" s="1" t="s">
        <v>24</v>
      </c>
      <c r="E100" s="1" t="s">
        <v>25</v>
      </c>
      <c r="F100" s="7">
        <f>iferror(VLOOKUP(B100,projections!A:B,2,false), "NOT ACTIVE")</f>
        <v>20</v>
      </c>
      <c r="G100" s="8">
        <f t="shared" si="1"/>
        <v>5</v>
      </c>
      <c r="H100" s="6">
        <f>iferror(VLOOKUP(B100,usage!A:B,2,false), "NOT ACTIVE")</f>
        <v>9.2</v>
      </c>
      <c r="I100" s="6">
        <f t="array" ref="I100">INDEX(DvP!$B$2:$F$31,MATCH($E100,DvP!$A$2:$A$31,0),MATCH($A100,DvP!$B$1:$F$1,0))</f>
        <v>52.94</v>
      </c>
      <c r="J100" s="8">
        <f t="array" ref="J100">INDEX(DvA!$B$2:$I$31,MATCH($E100,DvA!$A$2:$A$31,0),MATCH($K100,DvA!$B$1:$I$1,0))</f>
        <v>24.66</v>
      </c>
      <c r="K100" s="8" t="str">
        <f>VLOOKUP(B100,archtypes!A:B,2,false)</f>
        <v>Post Big</v>
      </c>
      <c r="L100" s="8">
        <f t="shared" si="2"/>
        <v>20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 t="s">
        <v>42</v>
      </c>
      <c r="B101" s="1" t="s">
        <v>128</v>
      </c>
      <c r="C101" s="2">
        <v>4000.0</v>
      </c>
      <c r="D101" s="1" t="s">
        <v>24</v>
      </c>
      <c r="E101" s="1" t="s">
        <v>25</v>
      </c>
      <c r="F101" s="7">
        <f>iferror(VLOOKUP(B101,projections!A:B,2,false), "NOT ACTIVE")</f>
        <v>0</v>
      </c>
      <c r="G101" s="8">
        <f t="shared" si="1"/>
        <v>0</v>
      </c>
      <c r="H101" s="6">
        <f>iferror(VLOOKUP(B101,usage!A:B,2,false), "NOT ACTIVE")</f>
        <v>23.4</v>
      </c>
      <c r="I101" s="6">
        <f t="array" ref="I101">INDEX(DvP!$B$2:$F$31,MATCH($E101,DvP!$A$2:$A$31,0),MATCH($A101,DvP!$B$1:$F$1,0))</f>
        <v>52.94</v>
      </c>
      <c r="J101" s="8" t="str">
        <f t="array" ref="J101">INDEX(DvA!$B$2:$I$31,MATCH($E101,DvA!$A$2:$A$31,0),MATCH($K101,DvA!$B$1:$I$1,0))</f>
        <v>#N/A</v>
      </c>
      <c r="K101" s="8" t="str">
        <f>VLOOKUP(B101,archtypes!A:B,2,false)</f>
        <v>#N/A</v>
      </c>
      <c r="L101" s="8">
        <f t="shared" si="2"/>
        <v>20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 t="s">
        <v>12</v>
      </c>
      <c r="B102" s="1" t="s">
        <v>129</v>
      </c>
      <c r="C102" s="2">
        <v>4000.0</v>
      </c>
      <c r="D102" s="1" t="s">
        <v>31</v>
      </c>
      <c r="E102" s="1" t="s">
        <v>30</v>
      </c>
      <c r="F102" s="7">
        <f>iferror(VLOOKUP(B102,projections!A:B,2,false), "NOT ACTIVE")</f>
        <v>12.3</v>
      </c>
      <c r="G102" s="8">
        <f t="shared" si="1"/>
        <v>3.075</v>
      </c>
      <c r="H102" s="6">
        <f>iferror(VLOOKUP(B102,usage!A:B,2,false), "NOT ACTIVE")</f>
        <v>15.9</v>
      </c>
      <c r="I102" s="6">
        <f t="array" ref="I102">INDEX(DvP!$B$2:$F$31,MATCH($E102,DvP!$A$2:$A$31,0),MATCH($A102,DvP!$B$1:$F$1,0))</f>
        <v>40.23</v>
      </c>
      <c r="J102" s="8">
        <f t="array" ref="J102">INDEX(DvA!$B$2:$I$31,MATCH($E102,DvA!$A$2:$A$31,0),MATCH($K102,DvA!$B$1:$I$1,0))</f>
        <v>11.75</v>
      </c>
      <c r="K102" s="8" t="str">
        <f>VLOOKUP(B102,archtypes!A:B,2,false)</f>
        <v>Distributor</v>
      </c>
      <c r="L102" s="8">
        <f t="shared" si="2"/>
        <v>20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 t="s">
        <v>32</v>
      </c>
      <c r="B103" s="1" t="s">
        <v>130</v>
      </c>
      <c r="C103" s="2">
        <v>4000.0</v>
      </c>
      <c r="D103" s="1" t="s">
        <v>31</v>
      </c>
      <c r="E103" s="1" t="s">
        <v>30</v>
      </c>
      <c r="F103" s="7">
        <f>iferror(VLOOKUP(B103,projections!A:B,2,false), "NOT ACTIVE")</f>
        <v>0</v>
      </c>
      <c r="G103" s="8">
        <f t="shared" si="1"/>
        <v>0</v>
      </c>
      <c r="H103" s="6">
        <f>iferror(VLOOKUP(B103,usage!A:B,2,false), "NOT ACTIVE")</f>
        <v>13.3</v>
      </c>
      <c r="I103" s="6">
        <f t="array" ref="I103">INDEX(DvP!$B$2:$F$31,MATCH($E103,DvP!$A$2:$A$31,0),MATCH($A103,DvP!$B$1:$F$1,0))</f>
        <v>37.64</v>
      </c>
      <c r="J103" s="8">
        <f t="array" ref="J103">INDEX(DvA!$B$2:$I$31,MATCH($E103,DvA!$A$2:$A$31,0),MATCH($K103,DvA!$B$1:$I$1,0))</f>
        <v>52.25</v>
      </c>
      <c r="K103" s="8" t="str">
        <f>VLOOKUP(B103,archtypes!A:B,2,false)</f>
        <v>Combo Guard</v>
      </c>
      <c r="L103" s="8">
        <f t="shared" si="2"/>
        <v>20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 t="s">
        <v>16</v>
      </c>
      <c r="B104" s="1" t="s">
        <v>131</v>
      </c>
      <c r="C104" s="2">
        <v>4000.0</v>
      </c>
      <c r="D104" s="1" t="s">
        <v>21</v>
      </c>
      <c r="E104" s="1" t="s">
        <v>22</v>
      </c>
      <c r="F104" s="7">
        <f>iferror(VLOOKUP(B104,projections!A:B,2,false), "NOT ACTIVE")</f>
        <v>19.3</v>
      </c>
      <c r="G104" s="8">
        <f t="shared" si="1"/>
        <v>4.825</v>
      </c>
      <c r="H104" s="6">
        <f>iferror(VLOOKUP(B104,usage!A:B,2,false), "NOT ACTIVE")</f>
        <v>19.2</v>
      </c>
      <c r="I104" s="6">
        <f t="array" ref="I104">INDEX(DvP!$B$2:$F$31,MATCH($E104,DvP!$A$2:$A$31,0),MATCH($A104,DvP!$B$1:$F$1,0))</f>
        <v>44.26</v>
      </c>
      <c r="J104" s="8">
        <f t="array" ref="J104">INDEX(DvA!$B$2:$I$31,MATCH($E104,DvA!$A$2:$A$31,0),MATCH($K104,DvA!$B$1:$I$1,0))</f>
        <v>22.2</v>
      </c>
      <c r="K104" s="8" t="str">
        <f>VLOOKUP(B104,archtypes!A:B,2,false)</f>
        <v>Shooting Wing</v>
      </c>
      <c r="L104" s="8">
        <f t="shared" si="2"/>
        <v>20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 t="s">
        <v>32</v>
      </c>
      <c r="B105" s="1" t="s">
        <v>132</v>
      </c>
      <c r="C105" s="2">
        <v>4000.0</v>
      </c>
      <c r="D105" s="1" t="s">
        <v>19</v>
      </c>
      <c r="E105" s="1" t="s">
        <v>18</v>
      </c>
      <c r="F105" s="7">
        <f>iferror(VLOOKUP(B105,projections!A:B,2,false), "NOT ACTIVE")</f>
        <v>18.1</v>
      </c>
      <c r="G105" s="8">
        <f t="shared" si="1"/>
        <v>4.525</v>
      </c>
      <c r="H105" s="6">
        <f>iferror(VLOOKUP(B105,usage!A:B,2,false), "NOT ACTIVE")</f>
        <v>13.5</v>
      </c>
      <c r="I105" s="6">
        <f t="array" ref="I105">INDEX(DvP!$B$2:$F$31,MATCH($E105,DvP!$A$2:$A$31,0),MATCH($A105,DvP!$B$1:$F$1,0))</f>
        <v>30.06</v>
      </c>
      <c r="J105" s="8">
        <f t="array" ref="J105">INDEX(DvA!$B$2:$I$31,MATCH($E105,DvA!$A$2:$A$31,0),MATCH($K105,DvA!$B$1:$I$1,0))</f>
        <v>25.14</v>
      </c>
      <c r="K105" s="8" t="str">
        <f>VLOOKUP(B105,archtypes!A:B,2,false)</f>
        <v>Shooting Wing</v>
      </c>
      <c r="L105" s="8">
        <f t="shared" si="2"/>
        <v>20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 t="s">
        <v>16</v>
      </c>
      <c r="B106" s="1" t="s">
        <v>133</v>
      </c>
      <c r="C106" s="2">
        <v>3900.0</v>
      </c>
      <c r="D106" s="1" t="s">
        <v>25</v>
      </c>
      <c r="E106" s="1" t="s">
        <v>24</v>
      </c>
      <c r="F106" s="7">
        <f>iferror(VLOOKUP(B106,projections!A:B,2,false), "NOT ACTIVE")</f>
        <v>18</v>
      </c>
      <c r="G106" s="8">
        <f t="shared" si="1"/>
        <v>4.615384615</v>
      </c>
      <c r="H106" s="6">
        <f>iferror(VLOOKUP(B106,usage!A:B,2,false), "NOT ACTIVE")</f>
        <v>17</v>
      </c>
      <c r="I106" s="6">
        <f t="array" ref="I106">INDEX(DvP!$B$2:$F$31,MATCH($E106,DvP!$A$2:$A$31,0),MATCH($A106,DvP!$B$1:$F$1,0))</f>
        <v>48.67</v>
      </c>
      <c r="J106" s="8">
        <f t="array" ref="J106">INDEX(DvA!$B$2:$I$31,MATCH($E106,DvA!$A$2:$A$31,0),MATCH($K106,DvA!$B$1:$I$1,0))</f>
        <v>51.14</v>
      </c>
      <c r="K106" s="8" t="str">
        <f>VLOOKUP(B106,archtypes!A:B,2,false)</f>
        <v>Versatile Forward</v>
      </c>
      <c r="L106" s="8">
        <f t="shared" si="2"/>
        <v>19.5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 t="s">
        <v>12</v>
      </c>
      <c r="B107" s="1" t="s">
        <v>134</v>
      </c>
      <c r="C107" s="2">
        <v>3900.0</v>
      </c>
      <c r="D107" s="1" t="s">
        <v>14</v>
      </c>
      <c r="E107" s="1" t="s">
        <v>15</v>
      </c>
      <c r="F107" s="7">
        <f>iferror(VLOOKUP(B107,projections!A:B,2,false), "NOT ACTIVE")</f>
        <v>20.1</v>
      </c>
      <c r="G107" s="8">
        <f t="shared" si="1"/>
        <v>5.153846154</v>
      </c>
      <c r="H107" s="6">
        <f>iferror(VLOOKUP(B107,usage!A:B,2,false), "NOT ACTIVE")</f>
        <v>15.2</v>
      </c>
      <c r="I107" s="6">
        <f t="array" ref="I107">INDEX(DvP!$B$2:$F$31,MATCH($E107,DvP!$A$2:$A$31,0),MATCH($A107,DvP!$B$1:$F$1,0))</f>
        <v>49.13</v>
      </c>
      <c r="J107" s="8" t="str">
        <f t="array" ref="J107">INDEX(DvA!$B$2:$I$31,MATCH($E107,DvA!$A$2:$A$31,0),MATCH($K107,DvA!$B$1:$I$1,0))</f>
        <v>#N/A</v>
      </c>
      <c r="K107" s="8" t="str">
        <f>VLOOKUP(B107,archtypes!A:B,2,false)</f>
        <v>#N/A</v>
      </c>
      <c r="L107" s="8">
        <f t="shared" si="2"/>
        <v>19.5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 t="s">
        <v>32</v>
      </c>
      <c r="B108" s="1" t="s">
        <v>135</v>
      </c>
      <c r="C108" s="2">
        <v>3900.0</v>
      </c>
      <c r="D108" s="1" t="s">
        <v>15</v>
      </c>
      <c r="E108" s="1" t="s">
        <v>14</v>
      </c>
      <c r="F108" s="7">
        <f>iferror(VLOOKUP(B108,projections!A:B,2,false), "NOT ACTIVE")</f>
        <v>13.2</v>
      </c>
      <c r="G108" s="8">
        <f t="shared" si="1"/>
        <v>3.384615385</v>
      </c>
      <c r="H108" s="6">
        <f>iferror(VLOOKUP(B108,usage!A:B,2,false), "NOT ACTIVE")</f>
        <v>24.5</v>
      </c>
      <c r="I108" s="6">
        <f t="array" ref="I108">INDEX(DvP!$B$2:$F$31,MATCH($E108,DvP!$A$2:$A$31,0),MATCH($A108,DvP!$B$1:$F$1,0))</f>
        <v>44.13</v>
      </c>
      <c r="J108" s="8">
        <f t="array" ref="J108">INDEX(DvA!$B$2:$I$31,MATCH($E108,DvA!$A$2:$A$31,0),MATCH($K108,DvA!$B$1:$I$1,0))</f>
        <v>23.41</v>
      </c>
      <c r="K108" s="8" t="str">
        <f>VLOOKUP(B108,archtypes!A:B,2,false)</f>
        <v>Scoring Wing</v>
      </c>
      <c r="L108" s="8">
        <f t="shared" si="2"/>
        <v>19.5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 t="s">
        <v>42</v>
      </c>
      <c r="B109" s="1" t="s">
        <v>136</v>
      </c>
      <c r="C109" s="2">
        <v>3900.0</v>
      </c>
      <c r="D109" s="1" t="s">
        <v>19</v>
      </c>
      <c r="E109" s="1" t="s">
        <v>18</v>
      </c>
      <c r="F109" s="7">
        <f>iferror(VLOOKUP(B109,projections!A:B,2,false), "NOT ACTIVE")</f>
        <v>11.5</v>
      </c>
      <c r="G109" s="8">
        <f t="shared" si="1"/>
        <v>2.948717949</v>
      </c>
      <c r="H109" s="6">
        <f>iferror(VLOOKUP(B109,usage!A:B,2,false), "NOT ACTIVE")</f>
        <v>16.3</v>
      </c>
      <c r="I109" s="6">
        <f t="array" ref="I109">INDEX(DvP!$B$2:$F$31,MATCH($E109,DvP!$A$2:$A$31,0),MATCH($A109,DvP!$B$1:$F$1,0))</f>
        <v>51.47</v>
      </c>
      <c r="J109" s="8">
        <f t="array" ref="J109">INDEX(DvA!$B$2:$I$31,MATCH($E109,DvA!$A$2:$A$31,0),MATCH($K109,DvA!$B$1:$I$1,0))</f>
        <v>26.66</v>
      </c>
      <c r="K109" s="8" t="str">
        <f>VLOOKUP(B109,archtypes!A:B,2,false)</f>
        <v>Versatile Big</v>
      </c>
      <c r="L109" s="8">
        <f t="shared" si="2"/>
        <v>19.5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 t="s">
        <v>32</v>
      </c>
      <c r="B110" s="1" t="s">
        <v>137</v>
      </c>
      <c r="C110" s="2">
        <v>3800.0</v>
      </c>
      <c r="D110" s="1" t="s">
        <v>18</v>
      </c>
      <c r="E110" s="1" t="s">
        <v>19</v>
      </c>
      <c r="F110" s="7">
        <f>iferror(VLOOKUP(B110,projections!A:B,2,false), "NOT ACTIVE")</f>
        <v>16.1</v>
      </c>
      <c r="G110" s="8">
        <f t="shared" si="1"/>
        <v>4.236842105</v>
      </c>
      <c r="H110" s="6">
        <f>iferror(VLOOKUP(B110,usage!A:B,2,false), "NOT ACTIVE")</f>
        <v>11.3</v>
      </c>
      <c r="I110" s="6">
        <f t="array" ref="I110">INDEX(DvP!$B$2:$F$31,MATCH($E110,DvP!$A$2:$A$31,0),MATCH($A110,DvP!$B$1:$F$1,0))</f>
        <v>41.03</v>
      </c>
      <c r="J110" s="8">
        <f t="array" ref="J110">INDEX(DvA!$B$2:$I$31,MATCH($E110,DvA!$A$2:$A$31,0),MATCH($K110,DvA!$B$1:$I$1,0))</f>
        <v>29.69</v>
      </c>
      <c r="K110" s="8" t="str">
        <f>VLOOKUP(B110,archtypes!A:B,2,false)</f>
        <v>Shooting Wing</v>
      </c>
      <c r="L110" s="8">
        <f t="shared" si="2"/>
        <v>19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 t="s">
        <v>38</v>
      </c>
      <c r="B111" s="1" t="s">
        <v>138</v>
      </c>
      <c r="C111" s="2">
        <v>3800.0</v>
      </c>
      <c r="D111" s="1" t="s">
        <v>15</v>
      </c>
      <c r="E111" s="1" t="s">
        <v>14</v>
      </c>
      <c r="F111" s="7">
        <f>iferror(VLOOKUP(B111,projections!A:B,2,false), "NOT ACTIVE")</f>
        <v>20.4</v>
      </c>
      <c r="G111" s="8">
        <f t="shared" si="1"/>
        <v>5.368421053</v>
      </c>
      <c r="H111" s="6">
        <f>iferror(VLOOKUP(B111,usage!A:B,2,false), "NOT ACTIVE")</f>
        <v>18.8</v>
      </c>
      <c r="I111" s="6">
        <f t="array" ref="I111">INDEX(DvP!$B$2:$F$31,MATCH($E111,DvP!$A$2:$A$31,0),MATCH($A111,DvP!$B$1:$F$1,0))</f>
        <v>30.63</v>
      </c>
      <c r="J111" s="8">
        <f t="array" ref="J111">INDEX(DvA!$B$2:$I$31,MATCH($E111,DvA!$A$2:$A$31,0),MATCH($K111,DvA!$B$1:$I$1,0))</f>
        <v>16.4</v>
      </c>
      <c r="K111" s="8" t="str">
        <f>VLOOKUP(B111,archtypes!A:B,2,false)</f>
        <v>3 and D Wing</v>
      </c>
      <c r="L111" s="8">
        <f t="shared" si="2"/>
        <v>19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 t="s">
        <v>16</v>
      </c>
      <c r="B112" s="1" t="s">
        <v>139</v>
      </c>
      <c r="C112" s="2">
        <v>3800.0</v>
      </c>
      <c r="D112" s="1" t="s">
        <v>21</v>
      </c>
      <c r="E112" s="1" t="s">
        <v>22</v>
      </c>
      <c r="F112" s="7">
        <f>iferror(VLOOKUP(B112,projections!A:B,2,false), "NOT ACTIVE")</f>
        <v>0</v>
      </c>
      <c r="G112" s="8">
        <f t="shared" si="1"/>
        <v>0</v>
      </c>
      <c r="H112" s="6">
        <f>iferror(VLOOKUP(B112,usage!A:B,2,false), "NOT ACTIVE")</f>
        <v>16.9</v>
      </c>
      <c r="I112" s="6">
        <f t="array" ref="I112">INDEX(DvP!$B$2:$F$31,MATCH($E112,DvP!$A$2:$A$31,0),MATCH($A112,DvP!$B$1:$F$1,0))</f>
        <v>44.26</v>
      </c>
      <c r="J112" s="8" t="str">
        <f t="array" ref="J112">INDEX(DvA!$B$2:$I$31,MATCH($E112,DvA!$A$2:$A$31,0),MATCH($K112,DvA!$B$1:$I$1,0))</f>
        <v>#N/A</v>
      </c>
      <c r="K112" s="8" t="str">
        <f>VLOOKUP(B112,archtypes!A:B,2,false)</f>
        <v>#N/A</v>
      </c>
      <c r="L112" s="8">
        <f t="shared" si="2"/>
        <v>19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 t="s">
        <v>16</v>
      </c>
      <c r="B113" s="1" t="s">
        <v>140</v>
      </c>
      <c r="C113" s="2">
        <v>3800.0</v>
      </c>
      <c r="D113" s="1" t="s">
        <v>28</v>
      </c>
      <c r="E113" s="1" t="s">
        <v>27</v>
      </c>
      <c r="F113" s="7">
        <f>iferror(VLOOKUP(B113,projections!A:B,2,false), "NOT ACTIVE")</f>
        <v>1.5</v>
      </c>
      <c r="G113" s="8">
        <f t="shared" si="1"/>
        <v>0.3947368421</v>
      </c>
      <c r="H113" s="6">
        <f>iferror(VLOOKUP(B113,usage!A:B,2,false), "NOT ACTIVE")</f>
        <v>14</v>
      </c>
      <c r="I113" s="6">
        <f t="array" ref="I113">INDEX(DvP!$B$2:$F$31,MATCH($E113,DvP!$A$2:$A$31,0),MATCH($A113,DvP!$B$1:$F$1,0))</f>
        <v>48.4</v>
      </c>
      <c r="J113" s="8" t="str">
        <f t="array" ref="J113">INDEX(DvA!$B$2:$I$31,MATCH($E113,DvA!$A$2:$A$31,0),MATCH($K113,DvA!$B$1:$I$1,0))</f>
        <v>#N/A</v>
      </c>
      <c r="K113" s="8" t="str">
        <f>VLOOKUP(B113,archtypes!A:B,2,false)</f>
        <v>#N/A</v>
      </c>
      <c r="L113" s="8">
        <f t="shared" si="2"/>
        <v>19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 t="s">
        <v>38</v>
      </c>
      <c r="B114" s="1" t="s">
        <v>141</v>
      </c>
      <c r="C114" s="2">
        <v>3700.0</v>
      </c>
      <c r="D114" s="1" t="s">
        <v>24</v>
      </c>
      <c r="E114" s="1" t="s">
        <v>25</v>
      </c>
      <c r="F114" s="7">
        <f>iferror(VLOOKUP(B114,projections!A:B,2,false), "NOT ACTIVE")</f>
        <v>16.7</v>
      </c>
      <c r="G114" s="8">
        <f t="shared" si="1"/>
        <v>4.513513514</v>
      </c>
      <c r="H114" s="6">
        <f>iferror(VLOOKUP(B114,usage!A:B,2,false), "NOT ACTIVE")</f>
        <v>15.7</v>
      </c>
      <c r="I114" s="6">
        <f t="array" ref="I114">INDEX(DvP!$B$2:$F$31,MATCH($E114,DvP!$A$2:$A$31,0),MATCH($A114,DvP!$B$1:$F$1,0))</f>
        <v>40.53</v>
      </c>
      <c r="J114" s="8" t="str">
        <f t="array" ref="J114">INDEX(DvA!$B$2:$I$31,MATCH($E114,DvA!$A$2:$A$31,0),MATCH($K114,DvA!$B$1:$I$1,0))</f>
        <v>#N/A</v>
      </c>
      <c r="K114" s="8" t="str">
        <f>VLOOKUP(B114,archtypes!A:B,2,false)</f>
        <v>#N/A</v>
      </c>
      <c r="L114" s="8">
        <f t="shared" si="2"/>
        <v>18.5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 t="s">
        <v>16</v>
      </c>
      <c r="B115" s="1" t="s">
        <v>142</v>
      </c>
      <c r="C115" s="2">
        <v>3700.0</v>
      </c>
      <c r="D115" s="1" t="s">
        <v>14</v>
      </c>
      <c r="E115" s="1" t="s">
        <v>15</v>
      </c>
      <c r="F115" s="7">
        <f>iferror(VLOOKUP(B115,projections!A:B,2,false), "NOT ACTIVE")</f>
        <v>20.6</v>
      </c>
      <c r="G115" s="8">
        <f t="shared" si="1"/>
        <v>5.567567568</v>
      </c>
      <c r="H115" s="6">
        <f>iferror(VLOOKUP(B115,usage!A:B,2,false), "NOT ACTIVE")</f>
        <v>14.7</v>
      </c>
      <c r="I115" s="6">
        <f t="array" ref="I115">INDEX(DvP!$B$2:$F$31,MATCH($E115,DvP!$A$2:$A$31,0),MATCH($A115,DvP!$B$1:$F$1,0))</f>
        <v>45.73</v>
      </c>
      <c r="J115" s="8" t="str">
        <f t="array" ref="J115">INDEX(DvA!$B$2:$I$31,MATCH($E115,DvA!$A$2:$A$31,0),MATCH($K115,DvA!$B$1:$I$1,0))</f>
        <v>#N/A</v>
      </c>
      <c r="K115" s="8" t="str">
        <f>VLOOKUP(B115,archtypes!A:B,2,false)</f>
        <v>#N/A</v>
      </c>
      <c r="L115" s="8">
        <f t="shared" si="2"/>
        <v>18.5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 t="s">
        <v>12</v>
      </c>
      <c r="B116" s="1" t="s">
        <v>143</v>
      </c>
      <c r="C116" s="2">
        <v>3700.0</v>
      </c>
      <c r="D116" s="1" t="s">
        <v>30</v>
      </c>
      <c r="E116" s="1" t="s">
        <v>31</v>
      </c>
      <c r="F116" s="7">
        <f>iferror(VLOOKUP(B116,projections!A:B,2,false), "NOT ACTIVE")</f>
        <v>17.2</v>
      </c>
      <c r="G116" s="8">
        <f t="shared" si="1"/>
        <v>4.648648649</v>
      </c>
      <c r="H116" s="6">
        <f>iferror(VLOOKUP(B116,usage!A:B,2,false), "NOT ACTIVE")</f>
        <v>18.6</v>
      </c>
      <c r="I116" s="6">
        <f t="array" ref="I116">INDEX(DvP!$B$2:$F$31,MATCH($E116,DvP!$A$2:$A$31,0),MATCH($A116,DvP!$B$1:$F$1,0))</f>
        <v>51.07</v>
      </c>
      <c r="J116" s="8" t="str">
        <f t="array" ref="J116">INDEX(DvA!$B$2:$I$31,MATCH($E116,DvA!$A$2:$A$31,0),MATCH($K116,DvA!$B$1:$I$1,0))</f>
        <v>#N/A</v>
      </c>
      <c r="K116" s="8" t="str">
        <f>VLOOKUP(B116,archtypes!A:B,2,false)</f>
        <v>#N/A</v>
      </c>
      <c r="L116" s="8">
        <f t="shared" si="2"/>
        <v>18.5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 t="s">
        <v>38</v>
      </c>
      <c r="B117" s="1" t="s">
        <v>144</v>
      </c>
      <c r="C117" s="2">
        <v>3700.0</v>
      </c>
      <c r="D117" s="1" t="s">
        <v>31</v>
      </c>
      <c r="E117" s="1" t="s">
        <v>30</v>
      </c>
      <c r="F117" s="7" t="str">
        <f>iferror(VLOOKUP(B117,projections!A:B,2,false), "NOT ACTIVE")</f>
        <v>NOT ACTIVE</v>
      </c>
      <c r="G117" s="8" t="str">
        <f t="shared" si="1"/>
        <v>NOT ACTIVE</v>
      </c>
      <c r="H117" s="6">
        <f>iferror(VLOOKUP(B117,usage!A:B,2,false), "NOT ACTIVE")</f>
        <v>16.3</v>
      </c>
      <c r="I117" s="6">
        <f t="array" ref="I117">INDEX(DvP!$B$2:$F$31,MATCH($E117,DvP!$A$2:$A$31,0),MATCH($A117,DvP!$B$1:$F$1,0))</f>
        <v>42.78</v>
      </c>
      <c r="J117" s="8" t="str">
        <f t="array" ref="J117">INDEX(DvA!$B$2:$I$31,MATCH($E117,DvA!$A$2:$A$31,0),MATCH($K117,DvA!$B$1:$I$1,0))</f>
        <v>#N/A</v>
      </c>
      <c r="K117" s="8" t="str">
        <f>VLOOKUP(B117,archtypes!A:B,2,false)</f>
        <v>#N/A</v>
      </c>
      <c r="L117" s="8">
        <f t="shared" si="2"/>
        <v>18.5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 t="s">
        <v>16</v>
      </c>
      <c r="B118" s="1" t="s">
        <v>145</v>
      </c>
      <c r="C118" s="2">
        <v>3700.0</v>
      </c>
      <c r="D118" s="1" t="s">
        <v>22</v>
      </c>
      <c r="E118" s="1" t="s">
        <v>21</v>
      </c>
      <c r="F118" s="7">
        <f>iferror(VLOOKUP(B118,projections!A:B,2,false), "NOT ACTIVE")</f>
        <v>16.9</v>
      </c>
      <c r="G118" s="8">
        <f t="shared" si="1"/>
        <v>4.567567568</v>
      </c>
      <c r="H118" s="6">
        <f>iferror(VLOOKUP(B118,usage!A:B,2,false), "NOT ACTIVE")</f>
        <v>12.6</v>
      </c>
      <c r="I118" s="6">
        <f t="array" ref="I118">INDEX(DvP!$B$2:$F$31,MATCH($E118,DvP!$A$2:$A$31,0),MATCH($A118,DvP!$B$1:$F$1,0))</f>
        <v>47.32</v>
      </c>
      <c r="J118" s="8">
        <f t="array" ref="J118">INDEX(DvA!$B$2:$I$31,MATCH($E118,DvA!$A$2:$A$31,0),MATCH($K118,DvA!$B$1:$I$1,0))</f>
        <v>18.07</v>
      </c>
      <c r="K118" s="8" t="str">
        <f>VLOOKUP(B118,archtypes!A:B,2,false)</f>
        <v>Versatile Big</v>
      </c>
      <c r="L118" s="8">
        <f t="shared" si="2"/>
        <v>18.5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 t="s">
        <v>32</v>
      </c>
      <c r="B119" s="1" t="s">
        <v>146</v>
      </c>
      <c r="C119" s="2">
        <v>3700.0</v>
      </c>
      <c r="D119" s="1" t="s">
        <v>25</v>
      </c>
      <c r="E119" s="1" t="s">
        <v>24</v>
      </c>
      <c r="F119" s="7">
        <f>iferror(VLOOKUP(B119,projections!A:B,2,false), "NOT ACTIVE")</f>
        <v>14.1</v>
      </c>
      <c r="G119" s="8">
        <f t="shared" si="1"/>
        <v>3.810810811</v>
      </c>
      <c r="H119" s="6">
        <f>iferror(VLOOKUP(B119,usage!A:B,2,false), "NOT ACTIVE")</f>
        <v>13.3</v>
      </c>
      <c r="I119" s="6">
        <f t="array" ref="I119">INDEX(DvP!$B$2:$F$31,MATCH($E119,DvP!$A$2:$A$31,0),MATCH($A119,DvP!$B$1:$F$1,0))</f>
        <v>41.3</v>
      </c>
      <c r="J119" s="8" t="str">
        <f t="array" ref="J119">INDEX(DvA!$B$2:$I$31,MATCH($E119,DvA!$A$2:$A$31,0),MATCH($K119,DvA!$B$1:$I$1,0))</f>
        <v>#N/A</v>
      </c>
      <c r="K119" s="8" t="str">
        <f>VLOOKUP(B119,archtypes!A:B,2,false)</f>
        <v>#N/A</v>
      </c>
      <c r="L119" s="8">
        <f t="shared" si="2"/>
        <v>18.5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 t="s">
        <v>38</v>
      </c>
      <c r="B120" s="1" t="s">
        <v>147</v>
      </c>
      <c r="C120" s="2">
        <v>3600.0</v>
      </c>
      <c r="D120" s="1" t="s">
        <v>21</v>
      </c>
      <c r="E120" s="1" t="s">
        <v>22</v>
      </c>
      <c r="F120" s="7" t="str">
        <f>iferror(VLOOKUP(B120,projections!A:B,2,false), "NOT ACTIVE")</f>
        <v>NOT ACTIVE</v>
      </c>
      <c r="G120" s="8" t="str">
        <f t="shared" si="1"/>
        <v>NOT ACTIVE</v>
      </c>
      <c r="H120" s="6">
        <f>iferror(VLOOKUP(B120,usage!A:B,2,false), "NOT ACTIVE")</f>
        <v>21.3</v>
      </c>
      <c r="I120" s="6">
        <f t="array" ref="I120">INDEX(DvP!$B$2:$F$31,MATCH($E120,DvP!$A$2:$A$31,0),MATCH($A120,DvP!$B$1:$F$1,0))</f>
        <v>49.36</v>
      </c>
      <c r="J120" s="8" t="str">
        <f t="array" ref="J120">INDEX(DvA!$B$2:$I$31,MATCH($E120,DvA!$A$2:$A$31,0),MATCH($K120,DvA!$B$1:$I$1,0))</f>
        <v>#N/A</v>
      </c>
      <c r="K120" s="8" t="str">
        <f>VLOOKUP(B120,archtypes!A:B,2,false)</f>
        <v>#N/A</v>
      </c>
      <c r="L120" s="8">
        <f t="shared" si="2"/>
        <v>18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 t="s">
        <v>32</v>
      </c>
      <c r="B121" s="1" t="s">
        <v>148</v>
      </c>
      <c r="C121" s="2">
        <v>3600.0</v>
      </c>
      <c r="D121" s="1" t="s">
        <v>28</v>
      </c>
      <c r="E121" s="1" t="s">
        <v>27</v>
      </c>
      <c r="F121" s="7">
        <f>iferror(VLOOKUP(B121,projections!A:B,2,false), "NOT ACTIVE")</f>
        <v>19.1</v>
      </c>
      <c r="G121" s="8">
        <f t="shared" si="1"/>
        <v>5.305555556</v>
      </c>
      <c r="H121" s="6">
        <f>iferror(VLOOKUP(B121,usage!A:B,2,false), "NOT ACTIVE")</f>
        <v>19.2</v>
      </c>
      <c r="I121" s="6">
        <f t="array" ref="I121">INDEX(DvP!$B$2:$F$31,MATCH($E121,DvP!$A$2:$A$31,0),MATCH($A121,DvP!$B$1:$F$1,0))</f>
        <v>39.55</v>
      </c>
      <c r="J121" s="8">
        <f t="array" ref="J121">INDEX(DvA!$B$2:$I$31,MATCH($E121,DvA!$A$2:$A$31,0),MATCH($K121,DvA!$B$1:$I$1,0))</f>
        <v>26.55</v>
      </c>
      <c r="K121" s="8" t="str">
        <f>VLOOKUP(B121,archtypes!A:B,2,false)</f>
        <v>Distributor</v>
      </c>
      <c r="L121" s="8">
        <f t="shared" si="2"/>
        <v>18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 t="s">
        <v>12</v>
      </c>
      <c r="B122" s="1" t="s">
        <v>149</v>
      </c>
      <c r="C122" s="2">
        <v>3600.0</v>
      </c>
      <c r="D122" s="1" t="s">
        <v>15</v>
      </c>
      <c r="E122" s="1" t="s">
        <v>14</v>
      </c>
      <c r="F122" s="7">
        <f>iferror(VLOOKUP(B122,projections!A:B,2,false), "NOT ACTIVE")</f>
        <v>0</v>
      </c>
      <c r="G122" s="8">
        <f t="shared" si="1"/>
        <v>0</v>
      </c>
      <c r="H122" s="6">
        <f>iferror(VLOOKUP(B122,usage!A:B,2,false), "NOT ACTIVE")</f>
        <v>15.7</v>
      </c>
      <c r="I122" s="6">
        <f t="array" ref="I122">INDEX(DvP!$B$2:$F$31,MATCH($E122,DvP!$A$2:$A$31,0),MATCH($A122,DvP!$B$1:$F$1,0))</f>
        <v>48.13</v>
      </c>
      <c r="J122" s="8" t="str">
        <f t="array" ref="J122">INDEX(DvA!$B$2:$I$31,MATCH($E122,DvA!$A$2:$A$31,0),MATCH($K122,DvA!$B$1:$I$1,0))</f>
        <v>#N/A</v>
      </c>
      <c r="K122" s="8" t="str">
        <f>VLOOKUP(B122,archtypes!A:B,2,false)</f>
        <v>#N/A</v>
      </c>
      <c r="L122" s="8">
        <f t="shared" si="2"/>
        <v>18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 t="s">
        <v>38</v>
      </c>
      <c r="B123" s="1" t="s">
        <v>150</v>
      </c>
      <c r="C123" s="2">
        <v>3600.0</v>
      </c>
      <c r="D123" s="1" t="s">
        <v>31</v>
      </c>
      <c r="E123" s="1" t="s">
        <v>30</v>
      </c>
      <c r="F123" s="7">
        <f>iferror(VLOOKUP(B123,projections!A:B,2,false), "NOT ACTIVE")</f>
        <v>14.2</v>
      </c>
      <c r="G123" s="8">
        <f t="shared" si="1"/>
        <v>3.944444444</v>
      </c>
      <c r="H123" s="6">
        <f>iferror(VLOOKUP(B123,usage!A:B,2,false), "NOT ACTIVE")</f>
        <v>15.1</v>
      </c>
      <c r="I123" s="6">
        <f t="array" ref="I123">INDEX(DvP!$B$2:$F$31,MATCH($E123,DvP!$A$2:$A$31,0),MATCH($A123,DvP!$B$1:$F$1,0))</f>
        <v>42.78</v>
      </c>
      <c r="J123" s="8">
        <f t="array" ref="J123">INDEX(DvA!$B$2:$I$31,MATCH($E123,DvA!$A$2:$A$31,0),MATCH($K123,DvA!$B$1:$I$1,0))</f>
        <v>15.13</v>
      </c>
      <c r="K123" s="8" t="str">
        <f>VLOOKUP(B123,archtypes!A:B,2,false)</f>
        <v>3 and D Wing</v>
      </c>
      <c r="L123" s="8">
        <f t="shared" si="2"/>
        <v>18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 t="s">
        <v>38</v>
      </c>
      <c r="B124" s="1" t="s">
        <v>151</v>
      </c>
      <c r="C124" s="2">
        <v>3500.0</v>
      </c>
      <c r="D124" s="1" t="s">
        <v>14</v>
      </c>
      <c r="E124" s="1" t="s">
        <v>15</v>
      </c>
      <c r="F124" s="7">
        <f>iferror(VLOOKUP(B124,projections!A:B,2,false), "NOT ACTIVE")</f>
        <v>11.3</v>
      </c>
      <c r="G124" s="8">
        <f t="shared" si="1"/>
        <v>3.228571429</v>
      </c>
      <c r="H124" s="6">
        <f>iferror(VLOOKUP(B124,usage!A:B,2,false), "NOT ACTIVE")</f>
        <v>11.2</v>
      </c>
      <c r="I124" s="6">
        <f t="array" ref="I124">INDEX(DvP!$B$2:$F$31,MATCH($E124,DvP!$A$2:$A$31,0),MATCH($A124,DvP!$B$1:$F$1,0))</f>
        <v>35.5</v>
      </c>
      <c r="J124" s="8">
        <f t="array" ref="J124">INDEX(DvA!$B$2:$I$31,MATCH($E124,DvA!$A$2:$A$31,0),MATCH($K124,DvA!$B$1:$I$1,0))</f>
        <v>29</v>
      </c>
      <c r="K124" s="8" t="str">
        <f>VLOOKUP(B124,archtypes!A:B,2,false)</f>
        <v>Shooting Wing</v>
      </c>
      <c r="L124" s="8">
        <f t="shared" si="2"/>
        <v>17.5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 t="s">
        <v>38</v>
      </c>
      <c r="B125" s="1" t="s">
        <v>152</v>
      </c>
      <c r="C125" s="2">
        <v>3500.0</v>
      </c>
      <c r="D125" s="1" t="s">
        <v>22</v>
      </c>
      <c r="E125" s="1" t="s">
        <v>21</v>
      </c>
      <c r="F125" s="7" t="str">
        <f>iferror(VLOOKUP(B125,projections!A:B,2,false), "NOT ACTIVE")</f>
        <v>NOT ACTIVE</v>
      </c>
      <c r="G125" s="8" t="str">
        <f t="shared" si="1"/>
        <v>NOT ACTIVE</v>
      </c>
      <c r="H125" s="6">
        <f>iferror(VLOOKUP(B125,usage!A:B,2,false), "NOT ACTIVE")</f>
        <v>18.9</v>
      </c>
      <c r="I125" s="6">
        <f t="array" ref="I125">INDEX(DvP!$B$2:$F$31,MATCH($E125,DvP!$A$2:$A$31,0),MATCH($A125,DvP!$B$1:$F$1,0))</f>
        <v>48.15</v>
      </c>
      <c r="J125" s="8">
        <f t="array" ref="J125">INDEX(DvA!$B$2:$I$31,MATCH($E125,DvA!$A$2:$A$31,0),MATCH($K125,DvA!$B$1:$I$1,0))</f>
        <v>24.46</v>
      </c>
      <c r="K125" s="8" t="str">
        <f>VLOOKUP(B125,archtypes!A:B,2,false)</f>
        <v>3 and D Wing</v>
      </c>
      <c r="L125" s="8">
        <f t="shared" si="2"/>
        <v>17.5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 t="s">
        <v>12</v>
      </c>
      <c r="B126" s="1" t="s">
        <v>153</v>
      </c>
      <c r="C126" s="2">
        <v>3500.0</v>
      </c>
      <c r="D126" s="1" t="s">
        <v>22</v>
      </c>
      <c r="E126" s="1" t="s">
        <v>21</v>
      </c>
      <c r="F126" s="7">
        <f>iferror(VLOOKUP(B126,projections!A:B,2,false), "NOT ACTIVE")</f>
        <v>0.9</v>
      </c>
      <c r="G126" s="8">
        <f t="shared" si="1"/>
        <v>0.2571428571</v>
      </c>
      <c r="H126" s="6">
        <f>iferror(VLOOKUP(B126,usage!A:B,2,false), "NOT ACTIVE")</f>
        <v>28.9</v>
      </c>
      <c r="I126" s="6">
        <f t="array" ref="I126">INDEX(DvP!$B$2:$F$31,MATCH($E126,DvP!$A$2:$A$31,0),MATCH($A126,DvP!$B$1:$F$1,0))</f>
        <v>61.22</v>
      </c>
      <c r="J126" s="8" t="str">
        <f t="array" ref="J126">INDEX(DvA!$B$2:$I$31,MATCH($E126,DvA!$A$2:$A$31,0),MATCH($K126,DvA!$B$1:$I$1,0))</f>
        <v>#N/A</v>
      </c>
      <c r="K126" s="8" t="str">
        <f>VLOOKUP(B126,archtypes!A:B,2,false)</f>
        <v>#N/A</v>
      </c>
      <c r="L126" s="8">
        <f t="shared" si="2"/>
        <v>17.5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 t="s">
        <v>16</v>
      </c>
      <c r="B127" s="1" t="s">
        <v>154</v>
      </c>
      <c r="C127" s="2">
        <v>3500.0</v>
      </c>
      <c r="D127" s="1" t="s">
        <v>25</v>
      </c>
      <c r="E127" s="1" t="s">
        <v>24</v>
      </c>
      <c r="F127" s="7">
        <f>iferror(VLOOKUP(B127,projections!A:B,2,false), "NOT ACTIVE")</f>
        <v>0</v>
      </c>
      <c r="G127" s="8">
        <f t="shared" si="1"/>
        <v>0</v>
      </c>
      <c r="H127" s="6">
        <f>iferror(VLOOKUP(B127,usage!A:B,2,false), "NOT ACTIVE")</f>
        <v>10.1</v>
      </c>
      <c r="I127" s="6">
        <f t="array" ref="I127">INDEX(DvP!$B$2:$F$31,MATCH($E127,DvP!$A$2:$A$31,0),MATCH($A127,DvP!$B$1:$F$1,0))</f>
        <v>48.67</v>
      </c>
      <c r="J127" s="8" t="str">
        <f t="array" ref="J127">INDEX(DvA!$B$2:$I$31,MATCH($E127,DvA!$A$2:$A$31,0),MATCH($K127,DvA!$B$1:$I$1,0))</f>
        <v>#N/A</v>
      </c>
      <c r="K127" s="8" t="str">
        <f>VLOOKUP(B127,archtypes!A:B,2,false)</f>
        <v>#N/A</v>
      </c>
      <c r="L127" s="8">
        <f t="shared" si="2"/>
        <v>17.5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 t="s">
        <v>12</v>
      </c>
      <c r="B128" s="1" t="s">
        <v>155</v>
      </c>
      <c r="C128" s="2">
        <v>3500.0</v>
      </c>
      <c r="D128" s="1" t="s">
        <v>31</v>
      </c>
      <c r="E128" s="1" t="s">
        <v>30</v>
      </c>
      <c r="F128" s="7" t="str">
        <f>iferror(VLOOKUP(B128,projections!A:B,2,false), "NOT ACTIVE")</f>
        <v>NOT ACTIVE</v>
      </c>
      <c r="G128" s="8" t="str">
        <f t="shared" si="1"/>
        <v>NOT ACTIVE</v>
      </c>
      <c r="H128" s="6">
        <f>iferror(VLOOKUP(B128,usage!A:B,2,false), "NOT ACTIVE")</f>
        <v>31.6</v>
      </c>
      <c r="I128" s="6">
        <f t="array" ref="I128">INDEX(DvP!$B$2:$F$31,MATCH($E128,DvP!$A$2:$A$31,0),MATCH($A128,DvP!$B$1:$F$1,0))</f>
        <v>40.23</v>
      </c>
      <c r="J128" s="8">
        <f t="array" ref="J128">INDEX(DvA!$B$2:$I$31,MATCH($E128,DvA!$A$2:$A$31,0),MATCH($K128,DvA!$B$1:$I$1,0))</f>
        <v>52.25</v>
      </c>
      <c r="K128" s="8" t="str">
        <f>VLOOKUP(B128,archtypes!A:B,2,false)</f>
        <v>Combo Guard</v>
      </c>
      <c r="L128" s="8">
        <f t="shared" si="2"/>
        <v>17.5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 t="s">
        <v>32</v>
      </c>
      <c r="B129" s="1" t="s">
        <v>156</v>
      </c>
      <c r="C129" s="2">
        <v>3500.0</v>
      </c>
      <c r="D129" s="1" t="s">
        <v>31</v>
      </c>
      <c r="E129" s="1" t="s">
        <v>30</v>
      </c>
      <c r="F129" s="7">
        <f>iferror(VLOOKUP(B129,projections!A:B,2,false), "NOT ACTIVE")</f>
        <v>0</v>
      </c>
      <c r="G129" s="8">
        <f t="shared" si="1"/>
        <v>0</v>
      </c>
      <c r="H129" s="6">
        <f>iferror(VLOOKUP(B129,usage!A:B,2,false), "NOT ACTIVE")</f>
        <v>14.6</v>
      </c>
      <c r="I129" s="6">
        <f t="array" ref="I129">INDEX(DvP!$B$2:$F$31,MATCH($E129,DvP!$A$2:$A$31,0),MATCH($A129,DvP!$B$1:$F$1,0))</f>
        <v>37.64</v>
      </c>
      <c r="J129" s="8">
        <f t="array" ref="J129">INDEX(DvA!$B$2:$I$31,MATCH($E129,DvA!$A$2:$A$31,0),MATCH($K129,DvA!$B$1:$I$1,0))</f>
        <v>23.71</v>
      </c>
      <c r="K129" s="8" t="str">
        <f>VLOOKUP(B129,archtypes!A:B,2,false)</f>
        <v>Shooting Wing</v>
      </c>
      <c r="L129" s="8">
        <f t="shared" si="2"/>
        <v>17.5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 t="s">
        <v>32</v>
      </c>
      <c r="B130" s="1" t="s">
        <v>157</v>
      </c>
      <c r="C130" s="2">
        <v>3500.0</v>
      </c>
      <c r="D130" s="1" t="s">
        <v>27</v>
      </c>
      <c r="E130" s="1" t="s">
        <v>28</v>
      </c>
      <c r="F130" s="7" t="str">
        <f>iferror(VLOOKUP(B130,projections!A:B,2,false), "NOT ACTIVE")</f>
        <v>NOT ACTIVE</v>
      </c>
      <c r="G130" s="8" t="str">
        <f t="shared" si="1"/>
        <v>NOT ACTIVE</v>
      </c>
      <c r="H130" s="6" t="str">
        <f>iferror(VLOOKUP(B130,usage!A:B,2,false), "NOT ACTIVE")</f>
        <v>NOT ACTIVE</v>
      </c>
      <c r="I130" s="6">
        <f t="array" ref="I130">INDEX(DvP!$B$2:$F$31,MATCH($E130,DvP!$A$2:$A$31,0),MATCH($A130,DvP!$B$1:$F$1,0))</f>
        <v>42.5</v>
      </c>
      <c r="J130" s="8" t="str">
        <f t="array" ref="J130">INDEX(DvA!$B$2:$I$31,MATCH($E130,DvA!$A$2:$A$31,0),MATCH($K130,DvA!$B$1:$I$1,0))</f>
        <v>#N/A</v>
      </c>
      <c r="K130" s="8" t="str">
        <f>VLOOKUP(B130,archtypes!A:B,2,false)</f>
        <v>#N/A</v>
      </c>
      <c r="L130" s="8">
        <f t="shared" si="2"/>
        <v>17.5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 t="s">
        <v>16</v>
      </c>
      <c r="B131" s="1" t="s">
        <v>158</v>
      </c>
      <c r="C131" s="2">
        <v>3500.0</v>
      </c>
      <c r="D131" s="1" t="s">
        <v>19</v>
      </c>
      <c r="E131" s="1" t="s">
        <v>18</v>
      </c>
      <c r="F131" s="7">
        <f>iferror(VLOOKUP(B131,projections!A:B,2,false), "NOT ACTIVE")</f>
        <v>0.9</v>
      </c>
      <c r="G131" s="8">
        <f t="shared" si="1"/>
        <v>0.2571428571</v>
      </c>
      <c r="H131" s="6">
        <f>iferror(VLOOKUP(B131,usage!A:B,2,false), "NOT ACTIVE")</f>
        <v>19</v>
      </c>
      <c r="I131" s="6">
        <f t="array" ref="I131">INDEX(DvP!$B$2:$F$31,MATCH($E131,DvP!$A$2:$A$31,0),MATCH($A131,DvP!$B$1:$F$1,0))</f>
        <v>45.35</v>
      </c>
      <c r="J131" s="8" t="str">
        <f t="array" ref="J131">INDEX(DvA!$B$2:$I$31,MATCH($E131,DvA!$A$2:$A$31,0),MATCH($K131,DvA!$B$1:$I$1,0))</f>
        <v>#N/A</v>
      </c>
      <c r="K131" s="8" t="str">
        <f>VLOOKUP(B131,archtypes!A:B,2,false)</f>
        <v>#N/A</v>
      </c>
      <c r="L131" s="8">
        <f t="shared" si="2"/>
        <v>17.5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 t="s">
        <v>38</v>
      </c>
      <c r="B132" s="1" t="s">
        <v>159</v>
      </c>
      <c r="C132" s="2">
        <v>3500.0</v>
      </c>
      <c r="D132" s="1" t="s">
        <v>15</v>
      </c>
      <c r="E132" s="1" t="s">
        <v>14</v>
      </c>
      <c r="F132" s="7">
        <f>iferror(VLOOKUP(B132,projections!A:B,2,false), "NOT ACTIVE")</f>
        <v>6.2</v>
      </c>
      <c r="G132" s="8">
        <f t="shared" si="1"/>
        <v>1.771428571</v>
      </c>
      <c r="H132" s="6">
        <f>iferror(VLOOKUP(B132,usage!A:B,2,false), "NOT ACTIVE")</f>
        <v>10.3</v>
      </c>
      <c r="I132" s="6">
        <f t="array" ref="I132">INDEX(DvP!$B$2:$F$31,MATCH($E132,DvP!$A$2:$A$31,0),MATCH($A132,DvP!$B$1:$F$1,0))</f>
        <v>30.63</v>
      </c>
      <c r="J132" s="8">
        <f t="array" ref="J132">INDEX(DvA!$B$2:$I$31,MATCH($E132,DvA!$A$2:$A$31,0),MATCH($K132,DvA!$B$1:$I$1,0))</f>
        <v>16.4</v>
      </c>
      <c r="K132" s="8" t="str">
        <f>VLOOKUP(B132,archtypes!A:B,2,false)</f>
        <v>3 and D Wing</v>
      </c>
      <c r="L132" s="8">
        <f t="shared" si="2"/>
        <v>17.5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 t="s">
        <v>12</v>
      </c>
      <c r="B133" s="1" t="s">
        <v>160</v>
      </c>
      <c r="C133" s="2">
        <v>3500.0</v>
      </c>
      <c r="D133" s="1" t="s">
        <v>30</v>
      </c>
      <c r="E133" s="1" t="s">
        <v>31</v>
      </c>
      <c r="F133" s="7">
        <f>iferror(VLOOKUP(B133,projections!A:B,2,false), "NOT ACTIVE")</f>
        <v>0</v>
      </c>
      <c r="G133" s="8">
        <f t="shared" si="1"/>
        <v>0</v>
      </c>
      <c r="H133" s="6">
        <f>iferror(VLOOKUP(B133,usage!A:B,2,false), "NOT ACTIVE")</f>
        <v>12.6</v>
      </c>
      <c r="I133" s="6">
        <f t="array" ref="I133">INDEX(DvP!$B$2:$F$31,MATCH($E133,DvP!$A$2:$A$31,0),MATCH($A133,DvP!$B$1:$F$1,0))</f>
        <v>51.07</v>
      </c>
      <c r="J133" s="8" t="str">
        <f t="array" ref="J133">INDEX(DvA!$B$2:$I$31,MATCH($E133,DvA!$A$2:$A$31,0),MATCH($K133,DvA!$B$1:$I$1,0))</f>
        <v>#N/A</v>
      </c>
      <c r="K133" s="8" t="str">
        <f>VLOOKUP(B133,archtypes!A:B,2,false)</f>
        <v>#N/A</v>
      </c>
      <c r="L133" s="8">
        <f t="shared" si="2"/>
        <v>17.5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 t="s">
        <v>42</v>
      </c>
      <c r="B134" s="1" t="s">
        <v>161</v>
      </c>
      <c r="C134" s="2">
        <v>3500.0</v>
      </c>
      <c r="D134" s="1" t="s">
        <v>25</v>
      </c>
      <c r="E134" s="1" t="s">
        <v>24</v>
      </c>
      <c r="F134" s="7">
        <f>iferror(VLOOKUP(B134,projections!A:B,2,false), "NOT ACTIVE")</f>
        <v>15.9</v>
      </c>
      <c r="G134" s="8">
        <f t="shared" si="1"/>
        <v>4.542857143</v>
      </c>
      <c r="H134" s="6">
        <f>iferror(VLOOKUP(B134,usage!A:B,2,false), "NOT ACTIVE")</f>
        <v>12.6</v>
      </c>
      <c r="I134" s="6">
        <f t="array" ref="I134">INDEX(DvP!$B$2:$F$31,MATCH($E134,DvP!$A$2:$A$31,0),MATCH($A134,DvP!$B$1:$F$1,0))</f>
        <v>42.76</v>
      </c>
      <c r="J134" s="8">
        <f t="array" ref="J134">INDEX(DvA!$B$2:$I$31,MATCH($E134,DvA!$A$2:$A$31,0),MATCH($K134,DvA!$B$1:$I$1,0))</f>
        <v>26.01</v>
      </c>
      <c r="K134" s="8" t="str">
        <f>VLOOKUP(B134,archtypes!A:B,2,false)</f>
        <v>Post Big</v>
      </c>
      <c r="L134" s="8">
        <f t="shared" si="2"/>
        <v>17.5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 t="s">
        <v>16</v>
      </c>
      <c r="B135" s="1" t="s">
        <v>162</v>
      </c>
      <c r="C135" s="2">
        <v>3500.0</v>
      </c>
      <c r="D135" s="1" t="s">
        <v>15</v>
      </c>
      <c r="E135" s="1" t="s">
        <v>14</v>
      </c>
      <c r="F135" s="7">
        <f>iferror(VLOOKUP(B135,projections!A:B,2,false), "NOT ACTIVE")</f>
        <v>0.3</v>
      </c>
      <c r="G135" s="8">
        <f t="shared" si="1"/>
        <v>0.08571428571</v>
      </c>
      <c r="H135" s="6">
        <f>iferror(VLOOKUP(B135,usage!A:B,2,false), "NOT ACTIVE")</f>
        <v>21</v>
      </c>
      <c r="I135" s="6">
        <f t="array" ref="I135">INDEX(DvP!$B$2:$F$31,MATCH($E135,DvP!$A$2:$A$31,0),MATCH($A135,DvP!$B$1:$F$1,0))</f>
        <v>49.34</v>
      </c>
      <c r="J135" s="8">
        <f t="array" ref="J135">INDEX(DvA!$B$2:$I$31,MATCH($E135,DvA!$A$2:$A$31,0),MATCH($K135,DvA!$B$1:$I$1,0))</f>
        <v>33.01</v>
      </c>
      <c r="K135" s="8" t="str">
        <f>VLOOKUP(B135,archtypes!A:B,2,false)</f>
        <v>Versatile Big</v>
      </c>
      <c r="L135" s="8">
        <f t="shared" si="2"/>
        <v>17.5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 t="s">
        <v>16</v>
      </c>
      <c r="B136" s="1" t="s">
        <v>163</v>
      </c>
      <c r="C136" s="2">
        <v>3500.0</v>
      </c>
      <c r="D136" s="1" t="s">
        <v>19</v>
      </c>
      <c r="E136" s="1" t="s">
        <v>18</v>
      </c>
      <c r="F136" s="7">
        <f>iferror(VLOOKUP(B136,projections!A:B,2,false), "NOT ACTIVE")</f>
        <v>0</v>
      </c>
      <c r="G136" s="8">
        <f t="shared" si="1"/>
        <v>0</v>
      </c>
      <c r="H136" s="6">
        <f>iferror(VLOOKUP(B136,usage!A:B,2,false), "NOT ACTIVE")</f>
        <v>12.8</v>
      </c>
      <c r="I136" s="6">
        <f t="array" ref="I136">INDEX(DvP!$B$2:$F$31,MATCH($E136,DvP!$A$2:$A$31,0),MATCH($A136,DvP!$B$1:$F$1,0))</f>
        <v>45.35</v>
      </c>
      <c r="J136" s="8" t="str">
        <f t="array" ref="J136">INDEX(DvA!$B$2:$I$31,MATCH($E136,DvA!$A$2:$A$31,0),MATCH($K136,DvA!$B$1:$I$1,0))</f>
        <v>#N/A</v>
      </c>
      <c r="K136" s="8" t="str">
        <f>VLOOKUP(B136,archtypes!A:B,2,false)</f>
        <v>#N/A</v>
      </c>
      <c r="L136" s="8">
        <f t="shared" si="2"/>
        <v>17.5</v>
      </c>
    </row>
    <row r="137">
      <c r="A137" s="1" t="s">
        <v>12</v>
      </c>
      <c r="B137" s="1" t="s">
        <v>164</v>
      </c>
      <c r="C137" s="2">
        <v>3500.0</v>
      </c>
      <c r="D137" s="1" t="s">
        <v>22</v>
      </c>
      <c r="E137" s="1" t="s">
        <v>21</v>
      </c>
      <c r="F137" s="7" t="str">
        <f>iferror(VLOOKUP(B137,projections!A:B,2,false), "NOT ACTIVE")</f>
        <v>NOT ACTIVE</v>
      </c>
      <c r="G137" s="8" t="str">
        <f t="shared" si="1"/>
        <v>NOT ACTIVE</v>
      </c>
      <c r="H137" s="6">
        <f>iferror(VLOOKUP(B137,usage!A:B,2,false), "NOT ACTIVE")</f>
        <v>12.5</v>
      </c>
      <c r="I137" s="6">
        <f t="array" ref="I137">INDEX(DvP!$B$2:$F$31,MATCH($E137,DvP!$A$2:$A$31,0),MATCH($A137,DvP!$B$1:$F$1,0))</f>
        <v>61.22</v>
      </c>
      <c r="J137" s="8" t="str">
        <f t="array" ref="J137">INDEX(DvA!$B$2:$I$31,MATCH($E137,DvA!$A$2:$A$31,0),MATCH($K137,DvA!$B$1:$I$1,0))</f>
        <v>#N/A</v>
      </c>
      <c r="K137" s="8" t="str">
        <f>VLOOKUP(B137,archtypes!A:B,2,false)</f>
        <v>#N/A</v>
      </c>
      <c r="L137" s="8">
        <f t="shared" si="2"/>
        <v>17.5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 t="s">
        <v>38</v>
      </c>
      <c r="B138" s="1" t="s">
        <v>165</v>
      </c>
      <c r="C138" s="2">
        <v>3500.0</v>
      </c>
      <c r="D138" s="1" t="s">
        <v>15</v>
      </c>
      <c r="E138" s="1" t="s">
        <v>14</v>
      </c>
      <c r="F138" s="7">
        <f>iferror(VLOOKUP(B138,projections!A:B,2,false), "NOT ACTIVE")</f>
        <v>8.4</v>
      </c>
      <c r="G138" s="8">
        <f t="shared" si="1"/>
        <v>2.4</v>
      </c>
      <c r="H138" s="6">
        <f>iferror(VLOOKUP(B138,usage!A:B,2,false), "NOT ACTIVE")</f>
        <v>8.4</v>
      </c>
      <c r="I138" s="6">
        <f t="array" ref="I138">INDEX(DvP!$B$2:$F$31,MATCH($E138,DvP!$A$2:$A$31,0),MATCH($A138,DvP!$B$1:$F$1,0))</f>
        <v>30.63</v>
      </c>
      <c r="J138" s="8">
        <f t="array" ref="J138">INDEX(DvA!$B$2:$I$31,MATCH($E138,DvA!$A$2:$A$31,0),MATCH($K138,DvA!$B$1:$I$1,0))</f>
        <v>25.81</v>
      </c>
      <c r="K138" s="8" t="str">
        <f>VLOOKUP(B138,archtypes!A:B,2,false)</f>
        <v>Shooting Wing</v>
      </c>
      <c r="L138" s="8">
        <f t="shared" si="2"/>
        <v>17.5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 t="s">
        <v>12</v>
      </c>
      <c r="B139" s="1" t="s">
        <v>166</v>
      </c>
      <c r="C139" s="2">
        <v>3500.0</v>
      </c>
      <c r="D139" s="1" t="s">
        <v>22</v>
      </c>
      <c r="E139" s="1" t="s">
        <v>21</v>
      </c>
      <c r="F139" s="7">
        <f>iferror(VLOOKUP(B139,projections!A:B,2,false), "NOT ACTIVE")</f>
        <v>11.9</v>
      </c>
      <c r="G139" s="8">
        <f t="shared" si="1"/>
        <v>3.4</v>
      </c>
      <c r="H139" s="6">
        <f>iferror(VLOOKUP(B139,usage!A:B,2,false), "NOT ACTIVE")</f>
        <v>16.3</v>
      </c>
      <c r="I139" s="6">
        <f t="array" ref="I139">INDEX(DvP!$B$2:$F$31,MATCH($E139,DvP!$A$2:$A$31,0),MATCH($A139,DvP!$B$1:$F$1,0))</f>
        <v>61.22</v>
      </c>
      <c r="J139" s="8" t="str">
        <f t="array" ref="J139">INDEX(DvA!$B$2:$I$31,MATCH($E139,DvA!$A$2:$A$31,0),MATCH($K139,DvA!$B$1:$I$1,0))</f>
        <v>#N/A</v>
      </c>
      <c r="K139" s="8" t="str">
        <f>VLOOKUP(B139,archtypes!A:B,2,false)</f>
        <v>#N/A</v>
      </c>
      <c r="L139" s="8">
        <f t="shared" si="2"/>
        <v>17.5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 t="s">
        <v>38</v>
      </c>
      <c r="B140" s="1" t="s">
        <v>167</v>
      </c>
      <c r="C140" s="2">
        <v>3500.0</v>
      </c>
      <c r="D140" s="1" t="s">
        <v>14</v>
      </c>
      <c r="E140" s="1" t="s">
        <v>15</v>
      </c>
      <c r="F140" s="7" t="str">
        <f>iferror(VLOOKUP(B140,projections!A:B,2,false), "NOT ACTIVE")</f>
        <v>NOT ACTIVE</v>
      </c>
      <c r="G140" s="8" t="str">
        <f t="shared" si="1"/>
        <v>NOT ACTIVE</v>
      </c>
      <c r="H140" s="6">
        <f>iferror(VLOOKUP(B140,usage!A:B,2,false), "NOT ACTIVE")</f>
        <v>11.8</v>
      </c>
      <c r="I140" s="6">
        <f t="array" ref="I140">INDEX(DvP!$B$2:$F$31,MATCH($E140,DvP!$A$2:$A$31,0),MATCH($A140,DvP!$B$1:$F$1,0))</f>
        <v>35.5</v>
      </c>
      <c r="J140" s="8">
        <f t="array" ref="J140">INDEX(DvA!$B$2:$I$31,MATCH($E140,DvA!$A$2:$A$31,0),MATCH($K140,DvA!$B$1:$I$1,0))</f>
        <v>29</v>
      </c>
      <c r="K140" s="8" t="str">
        <f>VLOOKUP(B140,archtypes!A:B,2,false)</f>
        <v>Shooting Wing</v>
      </c>
      <c r="L140" s="8">
        <f t="shared" si="2"/>
        <v>17.5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 t="s">
        <v>38</v>
      </c>
      <c r="B141" s="1" t="s">
        <v>168</v>
      </c>
      <c r="C141" s="2">
        <v>3500.0</v>
      </c>
      <c r="D141" s="1" t="s">
        <v>27</v>
      </c>
      <c r="E141" s="1" t="s">
        <v>28</v>
      </c>
      <c r="F141" s="7">
        <f>iferror(VLOOKUP(B141,projections!A:B,2,false), "NOT ACTIVE")</f>
        <v>0</v>
      </c>
      <c r="G141" s="8">
        <f t="shared" si="1"/>
        <v>0</v>
      </c>
      <c r="H141" s="6">
        <f>iferror(VLOOKUP(B141,usage!A:B,2,false), "NOT ACTIVE")</f>
        <v>12.2</v>
      </c>
      <c r="I141" s="6">
        <f t="array" ref="I141">INDEX(DvP!$B$2:$F$31,MATCH($E141,DvP!$A$2:$A$31,0),MATCH($A141,DvP!$B$1:$F$1,0))</f>
        <v>38.5</v>
      </c>
      <c r="J141" s="8" t="str">
        <f t="array" ref="J141">INDEX(DvA!$B$2:$I$31,MATCH($E141,DvA!$A$2:$A$31,0),MATCH($K141,DvA!$B$1:$I$1,0))</f>
        <v>#N/A</v>
      </c>
      <c r="K141" s="8" t="str">
        <f>VLOOKUP(B141,archtypes!A:B,2,false)</f>
        <v>#N/A</v>
      </c>
      <c r="L141" s="8">
        <f t="shared" si="2"/>
        <v>17.5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 t="s">
        <v>16</v>
      </c>
      <c r="B142" s="1" t="s">
        <v>169</v>
      </c>
      <c r="C142" s="2">
        <v>3500.0</v>
      </c>
      <c r="D142" s="1" t="s">
        <v>14</v>
      </c>
      <c r="E142" s="1" t="s">
        <v>15</v>
      </c>
      <c r="F142" s="7">
        <f>iferror(VLOOKUP(B142,projections!A:B,2,false), "NOT ACTIVE")</f>
        <v>0.2</v>
      </c>
      <c r="G142" s="8">
        <f t="shared" si="1"/>
        <v>0.05714285714</v>
      </c>
      <c r="H142" s="6">
        <f>iferror(VLOOKUP(B142,usage!A:B,2,false), "NOT ACTIVE")</f>
        <v>14.5</v>
      </c>
      <c r="I142" s="6">
        <f t="array" ref="I142">INDEX(DvP!$B$2:$F$31,MATCH($E142,DvP!$A$2:$A$31,0),MATCH($A142,DvP!$B$1:$F$1,0))</f>
        <v>45.73</v>
      </c>
      <c r="J142" s="8" t="str">
        <f t="array" ref="J142">INDEX(DvA!$B$2:$I$31,MATCH($E142,DvA!$A$2:$A$31,0),MATCH($K142,DvA!$B$1:$I$1,0))</f>
        <v>#N/A</v>
      </c>
      <c r="K142" s="8" t="str">
        <f>VLOOKUP(B142,archtypes!A:B,2,false)</f>
        <v>#N/A</v>
      </c>
      <c r="L142" s="8">
        <f t="shared" si="2"/>
        <v>17.5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 t="s">
        <v>16</v>
      </c>
      <c r="B143" s="1" t="s">
        <v>170</v>
      </c>
      <c r="C143" s="2">
        <v>3500.0</v>
      </c>
      <c r="D143" s="1" t="s">
        <v>30</v>
      </c>
      <c r="E143" s="1" t="s">
        <v>31</v>
      </c>
      <c r="F143" s="7">
        <f>iferror(VLOOKUP(B143,projections!A:B,2,false), "NOT ACTIVE")</f>
        <v>4.5</v>
      </c>
      <c r="G143" s="8">
        <f t="shared" si="1"/>
        <v>1.285714286</v>
      </c>
      <c r="H143" s="6">
        <f>iferror(VLOOKUP(B143,usage!A:B,2,false), "NOT ACTIVE")</f>
        <v>10.5</v>
      </c>
      <c r="I143" s="6">
        <f t="array" ref="I143">INDEX(DvP!$B$2:$F$31,MATCH($E143,DvP!$A$2:$A$31,0),MATCH($A143,DvP!$B$1:$F$1,0))</f>
        <v>54.58</v>
      </c>
      <c r="J143" s="8" t="str">
        <f t="array" ref="J143">INDEX(DvA!$B$2:$I$31,MATCH($E143,DvA!$A$2:$A$31,0),MATCH($K143,DvA!$B$1:$I$1,0))</f>
        <v>#N/A</v>
      </c>
      <c r="K143" s="8" t="str">
        <f>VLOOKUP(B143,archtypes!A:B,2,false)</f>
        <v>#N/A</v>
      </c>
      <c r="L143" s="8">
        <f t="shared" si="2"/>
        <v>17.5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 t="s">
        <v>32</v>
      </c>
      <c r="B144" s="1" t="s">
        <v>171</v>
      </c>
      <c r="C144" s="2">
        <v>3500.0</v>
      </c>
      <c r="D144" s="1" t="s">
        <v>24</v>
      </c>
      <c r="E144" s="1" t="s">
        <v>25</v>
      </c>
      <c r="F144" s="7" t="str">
        <f>iferror(VLOOKUP(B144,projections!A:B,2,false), "NOT ACTIVE")</f>
        <v>NOT ACTIVE</v>
      </c>
      <c r="G144" s="8" t="str">
        <f t="shared" si="1"/>
        <v>NOT ACTIVE</v>
      </c>
      <c r="H144" s="6" t="str">
        <f>iferror(VLOOKUP(B144,usage!A:B,2,false), "NOT ACTIVE")</f>
        <v>NOT ACTIVE</v>
      </c>
      <c r="I144" s="6">
        <f t="array" ref="I144">INDEX(DvP!$B$2:$F$31,MATCH($E144,DvP!$A$2:$A$31,0),MATCH($A144,DvP!$B$1:$F$1,0))</f>
        <v>48.99</v>
      </c>
      <c r="J144" s="8" t="str">
        <f t="array" ref="J144">INDEX(DvA!$B$2:$I$31,MATCH($E144,DvA!$A$2:$A$31,0),MATCH($K144,DvA!$B$1:$I$1,0))</f>
        <v>#N/A</v>
      </c>
      <c r="K144" s="8" t="str">
        <f>VLOOKUP(B144,archtypes!A:B,2,false)</f>
        <v>#N/A</v>
      </c>
      <c r="L144" s="8">
        <f t="shared" si="2"/>
        <v>17.5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 t="s">
        <v>12</v>
      </c>
      <c r="B145" s="1" t="s">
        <v>172</v>
      </c>
      <c r="C145" s="2">
        <v>3500.0</v>
      </c>
      <c r="D145" s="1" t="s">
        <v>28</v>
      </c>
      <c r="E145" s="1" t="s">
        <v>27</v>
      </c>
      <c r="F145" s="7" t="str">
        <f>iferror(VLOOKUP(B145,projections!A:B,2,false), "NOT ACTIVE")</f>
        <v>NOT ACTIVE</v>
      </c>
      <c r="G145" s="8" t="str">
        <f t="shared" si="1"/>
        <v>NOT ACTIVE</v>
      </c>
      <c r="H145" s="6">
        <f>iferror(VLOOKUP(B145,usage!A:B,2,false), "NOT ACTIVE")</f>
        <v>13.6</v>
      </c>
      <c r="I145" s="6">
        <f t="array" ref="I145">INDEX(DvP!$B$2:$F$31,MATCH($E145,DvP!$A$2:$A$31,0),MATCH($A145,DvP!$B$1:$F$1,0))</f>
        <v>51.23</v>
      </c>
      <c r="J145" s="8" t="str">
        <f t="array" ref="J145">INDEX(DvA!$B$2:$I$31,MATCH($E145,DvA!$A$2:$A$31,0),MATCH($K145,DvA!$B$1:$I$1,0))</f>
        <v>#N/A</v>
      </c>
      <c r="K145" s="8" t="str">
        <f>VLOOKUP(B145,archtypes!A:B,2,false)</f>
        <v>#N/A</v>
      </c>
      <c r="L145" s="8">
        <f t="shared" si="2"/>
        <v>17.5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 t="s">
        <v>38</v>
      </c>
      <c r="B146" s="1" t="s">
        <v>173</v>
      </c>
      <c r="C146" s="2">
        <v>3500.0</v>
      </c>
      <c r="D146" s="1" t="s">
        <v>19</v>
      </c>
      <c r="E146" s="1" t="s">
        <v>18</v>
      </c>
      <c r="F146" s="7">
        <f>iferror(VLOOKUP(B146,projections!A:B,2,false), "NOT ACTIVE")</f>
        <v>0.3</v>
      </c>
      <c r="G146" s="8">
        <f t="shared" si="1"/>
        <v>0.08571428571</v>
      </c>
      <c r="H146" s="6">
        <f>iferror(VLOOKUP(B146,usage!A:B,2,false), "NOT ACTIVE")</f>
        <v>13.6</v>
      </c>
      <c r="I146" s="6">
        <f t="array" ref="I146">INDEX(DvP!$B$2:$F$31,MATCH($E146,DvP!$A$2:$A$31,0),MATCH($A146,DvP!$B$1:$F$1,0))</f>
        <v>48.29</v>
      </c>
      <c r="J146" s="8" t="str">
        <f t="array" ref="J146">INDEX(DvA!$B$2:$I$31,MATCH($E146,DvA!$A$2:$A$31,0),MATCH($K146,DvA!$B$1:$I$1,0))</f>
        <v>#N/A</v>
      </c>
      <c r="K146" s="8" t="str">
        <f>VLOOKUP(B146,archtypes!A:B,2,false)</f>
        <v>#N/A</v>
      </c>
      <c r="L146" s="8">
        <f t="shared" si="2"/>
        <v>17.5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 t="s">
        <v>32</v>
      </c>
      <c r="B147" s="1" t="s">
        <v>174</v>
      </c>
      <c r="C147" s="2">
        <v>3500.0</v>
      </c>
      <c r="D147" s="1" t="s">
        <v>19</v>
      </c>
      <c r="E147" s="1" t="s">
        <v>18</v>
      </c>
      <c r="F147" s="7" t="str">
        <f>iferror(VLOOKUP(B147,projections!A:B,2,false), "NOT ACTIVE")</f>
        <v>NOT ACTIVE</v>
      </c>
      <c r="G147" s="8" t="str">
        <f t="shared" si="1"/>
        <v>NOT ACTIVE</v>
      </c>
      <c r="H147" s="6">
        <f>iferror(VLOOKUP(B147,usage!A:B,2,false), "NOT ACTIVE")</f>
        <v>17.7</v>
      </c>
      <c r="I147" s="6">
        <f t="array" ref="I147">INDEX(DvP!$B$2:$F$31,MATCH($E147,DvP!$A$2:$A$31,0),MATCH($A147,DvP!$B$1:$F$1,0))</f>
        <v>30.06</v>
      </c>
      <c r="J147" s="8">
        <f t="array" ref="J147">INDEX(DvA!$B$2:$I$31,MATCH($E147,DvA!$A$2:$A$31,0),MATCH($K147,DvA!$B$1:$I$1,0))</f>
        <v>39.36</v>
      </c>
      <c r="K147" s="8" t="str">
        <f>VLOOKUP(B147,archtypes!A:B,2,false)</f>
        <v>Combo Guard</v>
      </c>
      <c r="L147" s="8">
        <f t="shared" si="2"/>
        <v>17.5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 t="s">
        <v>16</v>
      </c>
      <c r="B148" s="1" t="s">
        <v>175</v>
      </c>
      <c r="C148" s="2">
        <v>3500.0</v>
      </c>
      <c r="D148" s="1" t="s">
        <v>18</v>
      </c>
      <c r="E148" s="1" t="s">
        <v>19</v>
      </c>
      <c r="F148" s="7">
        <f>iferror(VLOOKUP(B148,projections!A:B,2,false), "NOT ACTIVE")</f>
        <v>0.8</v>
      </c>
      <c r="G148" s="8">
        <f t="shared" si="1"/>
        <v>0.2285714286</v>
      </c>
      <c r="H148" s="6">
        <f>iferror(VLOOKUP(B148,usage!A:B,2,false), "NOT ACTIVE")</f>
        <v>13.8</v>
      </c>
      <c r="I148" s="6">
        <f t="array" ref="I148">INDEX(DvP!$B$2:$F$31,MATCH($E148,DvP!$A$2:$A$31,0),MATCH($A148,DvP!$B$1:$F$1,0))</f>
        <v>44.43</v>
      </c>
      <c r="J148" s="8" t="str">
        <f t="array" ref="J148">INDEX(DvA!$B$2:$I$31,MATCH($E148,DvA!$A$2:$A$31,0),MATCH($K148,DvA!$B$1:$I$1,0))</f>
        <v>#N/A</v>
      </c>
      <c r="K148" s="8" t="str">
        <f>VLOOKUP(B148,archtypes!A:B,2,false)</f>
        <v>#N/A</v>
      </c>
      <c r="L148" s="8">
        <f t="shared" si="2"/>
        <v>17.5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 t="s">
        <v>12</v>
      </c>
      <c r="B149" s="1" t="s">
        <v>176</v>
      </c>
      <c r="C149" s="2">
        <v>3500.0</v>
      </c>
      <c r="D149" s="1" t="s">
        <v>28</v>
      </c>
      <c r="E149" s="1" t="s">
        <v>27</v>
      </c>
      <c r="F149" s="7">
        <f>iferror(VLOOKUP(B149,projections!A:B,2,false), "NOT ACTIVE")</f>
        <v>12.8</v>
      </c>
      <c r="G149" s="8">
        <f t="shared" si="1"/>
        <v>3.657142857</v>
      </c>
      <c r="H149" s="6">
        <f>iferror(VLOOKUP(B149,usage!A:B,2,false), "NOT ACTIVE")</f>
        <v>16.5</v>
      </c>
      <c r="I149" s="6">
        <f t="array" ref="I149">INDEX(DvP!$B$2:$F$31,MATCH($E149,DvP!$A$2:$A$31,0),MATCH($A149,DvP!$B$1:$F$1,0))</f>
        <v>51.23</v>
      </c>
      <c r="J149" s="8">
        <f t="array" ref="J149">INDEX(DvA!$B$2:$I$31,MATCH($E149,DvA!$A$2:$A$31,0),MATCH($K149,DvA!$B$1:$I$1,0))</f>
        <v>26.55</v>
      </c>
      <c r="K149" s="8" t="str">
        <f>VLOOKUP(B149,archtypes!A:B,2,false)</f>
        <v>Distributor</v>
      </c>
      <c r="L149" s="8">
        <f t="shared" si="2"/>
        <v>17.5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 t="s">
        <v>38</v>
      </c>
      <c r="B150" s="1" t="s">
        <v>177</v>
      </c>
      <c r="C150" s="2">
        <v>3500.0</v>
      </c>
      <c r="D150" s="1" t="s">
        <v>14</v>
      </c>
      <c r="E150" s="1" t="s">
        <v>15</v>
      </c>
      <c r="F150" s="7">
        <f>iferror(VLOOKUP(B150,projections!A:B,2,false), "NOT ACTIVE")</f>
        <v>8.6</v>
      </c>
      <c r="G150" s="8">
        <f t="shared" si="1"/>
        <v>2.457142857</v>
      </c>
      <c r="H150" s="6">
        <f>iferror(VLOOKUP(B150,usage!A:B,2,false), "NOT ACTIVE")</f>
        <v>16.4</v>
      </c>
      <c r="I150" s="6">
        <f t="array" ref="I150">INDEX(DvP!$B$2:$F$31,MATCH($E150,DvP!$A$2:$A$31,0),MATCH($A150,DvP!$B$1:$F$1,0))</f>
        <v>35.5</v>
      </c>
      <c r="J150" s="8" t="str">
        <f t="array" ref="J150">INDEX(DvA!$B$2:$I$31,MATCH($E150,DvA!$A$2:$A$31,0),MATCH($K150,DvA!$B$1:$I$1,0))</f>
        <v>#N/A</v>
      </c>
      <c r="K150" s="8" t="str">
        <f>VLOOKUP(B150,archtypes!A:B,2,false)</f>
        <v>#N/A</v>
      </c>
      <c r="L150" s="8">
        <f t="shared" si="2"/>
        <v>17.5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 t="s">
        <v>16</v>
      </c>
      <c r="B151" s="1" t="s">
        <v>178</v>
      </c>
      <c r="C151" s="2">
        <v>3500.0</v>
      </c>
      <c r="D151" s="1" t="s">
        <v>28</v>
      </c>
      <c r="E151" s="1" t="s">
        <v>27</v>
      </c>
      <c r="F151" s="7">
        <f>iferror(VLOOKUP(B151,projections!A:B,2,false), "NOT ACTIVE")</f>
        <v>0.4</v>
      </c>
      <c r="G151" s="8">
        <f t="shared" si="1"/>
        <v>0.1142857143</v>
      </c>
      <c r="H151" s="6">
        <f>iferror(VLOOKUP(B151,usage!A:B,2,false), "NOT ACTIVE")</f>
        <v>14.8</v>
      </c>
      <c r="I151" s="6">
        <f t="array" ref="I151">INDEX(DvP!$B$2:$F$31,MATCH($E151,DvP!$A$2:$A$31,0),MATCH($A151,DvP!$B$1:$F$1,0))</f>
        <v>48.4</v>
      </c>
      <c r="J151" s="8" t="str">
        <f t="array" ref="J151">INDEX(DvA!$B$2:$I$31,MATCH($E151,DvA!$A$2:$A$31,0),MATCH($K151,DvA!$B$1:$I$1,0))</f>
        <v>#N/A</v>
      </c>
      <c r="K151" s="8" t="str">
        <f>VLOOKUP(B151,archtypes!A:B,2,false)</f>
        <v>#N/A</v>
      </c>
      <c r="L151" s="8">
        <f t="shared" si="2"/>
        <v>17.5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 t="s">
        <v>38</v>
      </c>
      <c r="B152" s="1" t="s">
        <v>179</v>
      </c>
      <c r="C152" s="2">
        <v>3500.0</v>
      </c>
      <c r="D152" s="1" t="s">
        <v>28</v>
      </c>
      <c r="E152" s="1" t="s">
        <v>27</v>
      </c>
      <c r="F152" s="7">
        <f>iferror(VLOOKUP(B152,projections!A:B,2,false), "NOT ACTIVE")</f>
        <v>0.1</v>
      </c>
      <c r="G152" s="8">
        <f t="shared" si="1"/>
        <v>0.02857142857</v>
      </c>
      <c r="H152" s="6">
        <f>iferror(VLOOKUP(B152,usage!A:B,2,false), "NOT ACTIVE")</f>
        <v>21</v>
      </c>
      <c r="I152" s="6">
        <f t="array" ref="I152">INDEX(DvP!$B$2:$F$31,MATCH($E152,DvP!$A$2:$A$31,0),MATCH($A152,DvP!$B$1:$F$1,0))</f>
        <v>38.97</v>
      </c>
      <c r="J152" s="8" t="str">
        <f t="array" ref="J152">INDEX(DvA!$B$2:$I$31,MATCH($E152,DvA!$A$2:$A$31,0),MATCH($K152,DvA!$B$1:$I$1,0))</f>
        <v>#N/A</v>
      </c>
      <c r="K152" s="8" t="str">
        <f>VLOOKUP(B152,archtypes!A:B,2,false)</f>
        <v>#N/A</v>
      </c>
      <c r="L152" s="8">
        <f t="shared" si="2"/>
        <v>17.5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 t="s">
        <v>38</v>
      </c>
      <c r="B153" s="1" t="s">
        <v>180</v>
      </c>
      <c r="C153" s="2">
        <v>3500.0</v>
      </c>
      <c r="D153" s="1" t="s">
        <v>25</v>
      </c>
      <c r="E153" s="1" t="s">
        <v>24</v>
      </c>
      <c r="F153" s="7">
        <f>iferror(VLOOKUP(B153,projections!A:B,2,false), "NOT ACTIVE")</f>
        <v>0</v>
      </c>
      <c r="G153" s="8">
        <f t="shared" si="1"/>
        <v>0</v>
      </c>
      <c r="H153" s="6">
        <f>iferror(VLOOKUP(B153,usage!A:B,2,false), "NOT ACTIVE")</f>
        <v>17.7</v>
      </c>
      <c r="I153" s="6">
        <f t="array" ref="I153">INDEX(DvP!$B$2:$F$31,MATCH($E153,DvP!$A$2:$A$31,0),MATCH($A153,DvP!$B$1:$F$1,0))</f>
        <v>36.98</v>
      </c>
      <c r="J153" s="8" t="str">
        <f t="array" ref="J153">INDEX(DvA!$B$2:$I$31,MATCH($E153,DvA!$A$2:$A$31,0),MATCH($K153,DvA!$B$1:$I$1,0))</f>
        <v>#N/A</v>
      </c>
      <c r="K153" s="8" t="str">
        <f>VLOOKUP(B153,archtypes!A:B,2,false)</f>
        <v>#N/A</v>
      </c>
      <c r="L153" s="8">
        <f t="shared" si="2"/>
        <v>17.5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 t="s">
        <v>12</v>
      </c>
      <c r="B154" s="1" t="s">
        <v>181</v>
      </c>
      <c r="C154" s="2">
        <v>3500.0</v>
      </c>
      <c r="D154" s="1" t="s">
        <v>18</v>
      </c>
      <c r="E154" s="1" t="s">
        <v>19</v>
      </c>
      <c r="F154" s="7">
        <f>iferror(VLOOKUP(B154,projections!A:B,2,false), "NOT ACTIVE")</f>
        <v>4.5</v>
      </c>
      <c r="G154" s="8">
        <f t="shared" si="1"/>
        <v>1.285714286</v>
      </c>
      <c r="H154" s="6">
        <f>iferror(VLOOKUP(B154,usage!A:B,2,false), "NOT ACTIVE")</f>
        <v>16.9</v>
      </c>
      <c r="I154" s="6">
        <f t="array" ref="I154">INDEX(DvP!$B$2:$F$31,MATCH($E154,DvP!$A$2:$A$31,0),MATCH($A154,DvP!$B$1:$F$1,0))</f>
        <v>44.74</v>
      </c>
      <c r="J154" s="8" t="str">
        <f t="array" ref="J154">INDEX(DvA!$B$2:$I$31,MATCH($E154,DvA!$A$2:$A$31,0),MATCH($K154,DvA!$B$1:$I$1,0))</f>
        <v>#N/A</v>
      </c>
      <c r="K154" s="8" t="str">
        <f>VLOOKUP(B154,archtypes!A:B,2,false)</f>
        <v>#N/A</v>
      </c>
      <c r="L154" s="8">
        <f t="shared" si="2"/>
        <v>17.5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 t="s">
        <v>32</v>
      </c>
      <c r="B155" s="1" t="s">
        <v>182</v>
      </c>
      <c r="C155" s="2">
        <v>3500.0</v>
      </c>
      <c r="D155" s="1" t="s">
        <v>28</v>
      </c>
      <c r="E155" s="1" t="s">
        <v>27</v>
      </c>
      <c r="F155" s="7">
        <f>iferror(VLOOKUP(B155,projections!A:B,2,false), "NOT ACTIVE")</f>
        <v>0</v>
      </c>
      <c r="G155" s="8">
        <f t="shared" si="1"/>
        <v>0</v>
      </c>
      <c r="H155" s="6">
        <f>iferror(VLOOKUP(B155,usage!A:B,2,false), "NOT ACTIVE")</f>
        <v>16.4</v>
      </c>
      <c r="I155" s="6">
        <f t="array" ref="I155">INDEX(DvP!$B$2:$F$31,MATCH($E155,DvP!$A$2:$A$31,0),MATCH($A155,DvP!$B$1:$F$1,0))</f>
        <v>39.55</v>
      </c>
      <c r="J155" s="8">
        <f t="array" ref="J155">INDEX(DvA!$B$2:$I$31,MATCH($E155,DvA!$A$2:$A$31,0),MATCH($K155,DvA!$B$1:$I$1,0))</f>
        <v>18.57</v>
      </c>
      <c r="K155" s="8" t="str">
        <f>VLOOKUP(B155,archtypes!A:B,2,false)</f>
        <v>Shooting Wing</v>
      </c>
      <c r="L155" s="8">
        <f t="shared" si="2"/>
        <v>17.5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 t="s">
        <v>32</v>
      </c>
      <c r="B156" s="1" t="s">
        <v>183</v>
      </c>
      <c r="C156" s="2">
        <v>3500.0</v>
      </c>
      <c r="D156" s="1" t="s">
        <v>25</v>
      </c>
      <c r="E156" s="1" t="s">
        <v>24</v>
      </c>
      <c r="F156" s="7">
        <f>iferror(VLOOKUP(B156,projections!A:B,2,false), "NOT ACTIVE")</f>
        <v>4.4</v>
      </c>
      <c r="G156" s="8">
        <f t="shared" si="1"/>
        <v>1.257142857</v>
      </c>
      <c r="H156" s="6">
        <f>iferror(VLOOKUP(B156,usage!A:B,2,false), "NOT ACTIVE")</f>
        <v>18.9</v>
      </c>
      <c r="I156" s="6">
        <f t="array" ref="I156">INDEX(DvP!$B$2:$F$31,MATCH($E156,DvP!$A$2:$A$31,0),MATCH($A156,DvP!$B$1:$F$1,0))</f>
        <v>41.3</v>
      </c>
      <c r="J156" s="8" t="str">
        <f t="array" ref="J156">INDEX(DvA!$B$2:$I$31,MATCH($E156,DvA!$A$2:$A$31,0),MATCH($K156,DvA!$B$1:$I$1,0))</f>
        <v>#N/A</v>
      </c>
      <c r="K156" s="8" t="str">
        <f>VLOOKUP(B156,archtypes!A:B,2,false)</f>
        <v>#N/A</v>
      </c>
      <c r="L156" s="8">
        <f t="shared" si="2"/>
        <v>17.5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 t="s">
        <v>42</v>
      </c>
      <c r="B157" s="1" t="s">
        <v>184</v>
      </c>
      <c r="C157" s="2">
        <v>3500.0</v>
      </c>
      <c r="D157" s="1" t="s">
        <v>14</v>
      </c>
      <c r="E157" s="1" t="s">
        <v>15</v>
      </c>
      <c r="F157" s="7" t="str">
        <f>iferror(VLOOKUP(B157,projections!A:B,2,false), "NOT ACTIVE")</f>
        <v>NOT ACTIVE</v>
      </c>
      <c r="G157" s="8" t="str">
        <f t="shared" si="1"/>
        <v>NOT ACTIVE</v>
      </c>
      <c r="H157" s="6">
        <f>iferror(VLOOKUP(B157,usage!A:B,2,false), "NOT ACTIVE")</f>
        <v>16.3</v>
      </c>
      <c r="I157" s="6">
        <f t="array" ref="I157">INDEX(DvP!$B$2:$F$31,MATCH($E157,DvP!$A$2:$A$31,0),MATCH($A157,DvP!$B$1:$F$1,0))</f>
        <v>53.39</v>
      </c>
      <c r="J157" s="8" t="str">
        <f t="array" ref="J157">INDEX(DvA!$B$2:$I$31,MATCH($E157,DvA!$A$2:$A$31,0),MATCH($K157,DvA!$B$1:$I$1,0))</f>
        <v>#N/A</v>
      </c>
      <c r="K157" s="8" t="str">
        <f>VLOOKUP(B157,archtypes!A:B,2,false)</f>
        <v>#N/A</v>
      </c>
      <c r="L157" s="8">
        <f t="shared" si="2"/>
        <v>17.5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 t="s">
        <v>16</v>
      </c>
      <c r="B158" s="1" t="s">
        <v>185</v>
      </c>
      <c r="C158" s="2">
        <v>3500.0</v>
      </c>
      <c r="D158" s="1" t="s">
        <v>14</v>
      </c>
      <c r="E158" s="1" t="s">
        <v>15</v>
      </c>
      <c r="F158" s="7">
        <f>iferror(VLOOKUP(B158,projections!A:B,2,false), "NOT ACTIVE")</f>
        <v>6.1</v>
      </c>
      <c r="G158" s="8">
        <f t="shared" si="1"/>
        <v>1.742857143</v>
      </c>
      <c r="H158" s="6">
        <f>iferror(VLOOKUP(B158,usage!A:B,2,false), "NOT ACTIVE")</f>
        <v>10.1</v>
      </c>
      <c r="I158" s="6">
        <f t="array" ref="I158">INDEX(DvP!$B$2:$F$31,MATCH($E158,DvP!$A$2:$A$31,0),MATCH($A158,DvP!$B$1:$F$1,0))</f>
        <v>45.73</v>
      </c>
      <c r="J158" s="8" t="str">
        <f t="array" ref="J158">INDEX(DvA!$B$2:$I$31,MATCH($E158,DvA!$A$2:$A$31,0),MATCH($K158,DvA!$B$1:$I$1,0))</f>
        <v>#N/A</v>
      </c>
      <c r="K158" s="8" t="str">
        <f>VLOOKUP(B158,archtypes!A:B,2,false)</f>
        <v>#N/A</v>
      </c>
      <c r="L158" s="8">
        <f t="shared" si="2"/>
        <v>17.5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 t="s">
        <v>32</v>
      </c>
      <c r="B159" s="1" t="s">
        <v>186</v>
      </c>
      <c r="C159" s="2">
        <v>3500.0</v>
      </c>
      <c r="D159" s="1" t="s">
        <v>25</v>
      </c>
      <c r="E159" s="1" t="s">
        <v>24</v>
      </c>
      <c r="F159" s="7">
        <f>iferror(VLOOKUP(B159,projections!A:B,2,false), "NOT ACTIVE")</f>
        <v>9.1</v>
      </c>
      <c r="G159" s="8">
        <f t="shared" si="1"/>
        <v>2.6</v>
      </c>
      <c r="H159" s="6">
        <f>iferror(VLOOKUP(B159,usage!A:B,2,false), "NOT ACTIVE")</f>
        <v>9.9</v>
      </c>
      <c r="I159" s="6">
        <f t="array" ref="I159">INDEX(DvP!$B$2:$F$31,MATCH($E159,DvP!$A$2:$A$31,0),MATCH($A159,DvP!$B$1:$F$1,0))</f>
        <v>41.3</v>
      </c>
      <c r="J159" s="8" t="str">
        <f t="array" ref="J159">INDEX(DvA!$B$2:$I$31,MATCH($E159,DvA!$A$2:$A$31,0),MATCH($K159,DvA!$B$1:$I$1,0))</f>
        <v>#N/A</v>
      </c>
      <c r="K159" s="8" t="str">
        <f>VLOOKUP(B159,archtypes!A:B,2,false)</f>
        <v>#N/A</v>
      </c>
      <c r="L159" s="8">
        <f t="shared" si="2"/>
        <v>17.5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 t="s">
        <v>16</v>
      </c>
      <c r="B160" s="1" t="s">
        <v>187</v>
      </c>
      <c r="C160" s="2">
        <v>3500.0</v>
      </c>
      <c r="D160" s="1" t="s">
        <v>15</v>
      </c>
      <c r="E160" s="1" t="s">
        <v>14</v>
      </c>
      <c r="F160" s="7">
        <f>iferror(VLOOKUP(B160,projections!A:B,2,false), "NOT ACTIVE")</f>
        <v>0.2</v>
      </c>
      <c r="G160" s="8">
        <f t="shared" si="1"/>
        <v>0.05714285714</v>
      </c>
      <c r="H160" s="6">
        <f>iferror(VLOOKUP(B160,usage!A:B,2,false), "NOT ACTIVE")</f>
        <v>12.7</v>
      </c>
      <c r="I160" s="6">
        <f t="array" ref="I160">INDEX(DvP!$B$2:$F$31,MATCH($E160,DvP!$A$2:$A$31,0),MATCH($A160,DvP!$B$1:$F$1,0))</f>
        <v>49.34</v>
      </c>
      <c r="J160" s="8" t="str">
        <f t="array" ref="J160">INDEX(DvA!$B$2:$I$31,MATCH($E160,DvA!$A$2:$A$31,0),MATCH($K160,DvA!$B$1:$I$1,0))</f>
        <v>#N/A</v>
      </c>
      <c r="K160" s="8" t="str">
        <f>VLOOKUP(B160,archtypes!A:B,2,false)</f>
        <v>#N/A</v>
      </c>
      <c r="L160" s="8">
        <f t="shared" si="2"/>
        <v>17.5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 t="s">
        <v>32</v>
      </c>
      <c r="B161" s="1" t="s">
        <v>188</v>
      </c>
      <c r="C161" s="2">
        <v>3500.0</v>
      </c>
      <c r="D161" s="1" t="s">
        <v>22</v>
      </c>
      <c r="E161" s="1" t="s">
        <v>21</v>
      </c>
      <c r="F161" s="7" t="str">
        <f>iferror(VLOOKUP(B161,projections!A:B,2,false), "NOT ACTIVE")</f>
        <v>NOT ACTIVE</v>
      </c>
      <c r="G161" s="8" t="str">
        <f t="shared" si="1"/>
        <v>NOT ACTIVE</v>
      </c>
      <c r="H161" s="6">
        <f>iferror(VLOOKUP(B161,usage!A:B,2,false), "NOT ACTIVE")</f>
        <v>14</v>
      </c>
      <c r="I161" s="6">
        <f t="array" ref="I161">INDEX(DvP!$B$2:$F$31,MATCH($E161,DvP!$A$2:$A$31,0),MATCH($A161,DvP!$B$1:$F$1,0))</f>
        <v>46.49</v>
      </c>
      <c r="J161" s="8" t="str">
        <f t="array" ref="J161">INDEX(DvA!$B$2:$I$31,MATCH($E161,DvA!$A$2:$A$31,0),MATCH($K161,DvA!$B$1:$I$1,0))</f>
        <v>#N/A</v>
      </c>
      <c r="K161" s="8" t="str">
        <f>VLOOKUP(B161,archtypes!A:B,2,false)</f>
        <v>#N/A</v>
      </c>
      <c r="L161" s="8">
        <f t="shared" si="2"/>
        <v>17.5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 t="s">
        <v>38</v>
      </c>
      <c r="B162" s="1" t="s">
        <v>189</v>
      </c>
      <c r="C162" s="2">
        <v>3500.0</v>
      </c>
      <c r="D162" s="1" t="s">
        <v>30</v>
      </c>
      <c r="E162" s="1" t="s">
        <v>31</v>
      </c>
      <c r="F162" s="7">
        <f>iferror(VLOOKUP(B162,projections!A:B,2,false), "NOT ACTIVE")</f>
        <v>4.5</v>
      </c>
      <c r="G162" s="8">
        <f t="shared" si="1"/>
        <v>1.285714286</v>
      </c>
      <c r="H162" s="6">
        <f>iferror(VLOOKUP(B162,usage!A:B,2,false), "NOT ACTIVE")</f>
        <v>13.5</v>
      </c>
      <c r="I162" s="6">
        <f t="array" ref="I162">INDEX(DvP!$B$2:$F$31,MATCH($E162,DvP!$A$2:$A$31,0),MATCH($A162,DvP!$B$1:$F$1,0))</f>
        <v>42.62</v>
      </c>
      <c r="J162" s="8" t="str">
        <f t="array" ref="J162">INDEX(DvA!$B$2:$I$31,MATCH($E162,DvA!$A$2:$A$31,0),MATCH($K162,DvA!$B$1:$I$1,0))</f>
        <v>#N/A</v>
      </c>
      <c r="K162" s="8" t="str">
        <f>VLOOKUP(B162,archtypes!A:B,2,false)</f>
        <v>#N/A</v>
      </c>
      <c r="L162" s="8">
        <f t="shared" si="2"/>
        <v>17.5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 t="s">
        <v>32</v>
      </c>
      <c r="B163" s="1" t="s">
        <v>190</v>
      </c>
      <c r="C163" s="2">
        <v>3500.0</v>
      </c>
      <c r="D163" s="1" t="s">
        <v>19</v>
      </c>
      <c r="E163" s="1" t="s">
        <v>18</v>
      </c>
      <c r="F163" s="7">
        <f>iferror(VLOOKUP(B163,projections!A:B,2,false), "NOT ACTIVE")</f>
        <v>1</v>
      </c>
      <c r="G163" s="8">
        <f t="shared" si="1"/>
        <v>0.2857142857</v>
      </c>
      <c r="H163" s="6">
        <f>iferror(VLOOKUP(B163,usage!A:B,2,false), "NOT ACTIVE")</f>
        <v>16.5</v>
      </c>
      <c r="I163" s="6">
        <f t="array" ref="I163">INDEX(DvP!$B$2:$F$31,MATCH($E163,DvP!$A$2:$A$31,0),MATCH($A163,DvP!$B$1:$F$1,0))</f>
        <v>30.06</v>
      </c>
      <c r="J163" s="8" t="str">
        <f t="array" ref="J163">INDEX(DvA!$B$2:$I$31,MATCH($E163,DvA!$A$2:$A$31,0),MATCH($K163,DvA!$B$1:$I$1,0))</f>
        <v>#N/A</v>
      </c>
      <c r="K163" s="8" t="str">
        <f>VLOOKUP(B163,archtypes!A:B,2,false)</f>
        <v>#N/A</v>
      </c>
      <c r="L163" s="8">
        <f t="shared" si="2"/>
        <v>17.5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 t="s">
        <v>38</v>
      </c>
      <c r="B164" s="1" t="s">
        <v>191</v>
      </c>
      <c r="C164" s="2">
        <v>3500.0</v>
      </c>
      <c r="D164" s="1" t="s">
        <v>18</v>
      </c>
      <c r="E164" s="1" t="s">
        <v>19</v>
      </c>
      <c r="F164" s="7">
        <f>iferror(VLOOKUP(B164,projections!A:B,2,false), "NOT ACTIVE")</f>
        <v>4.3</v>
      </c>
      <c r="G164" s="8">
        <f t="shared" si="1"/>
        <v>1.228571429</v>
      </c>
      <c r="H164" s="6">
        <f>iferror(VLOOKUP(B164,usage!A:B,2,false), "NOT ACTIVE")</f>
        <v>14.8</v>
      </c>
      <c r="I164" s="6">
        <f t="array" ref="I164">INDEX(DvP!$B$2:$F$31,MATCH($E164,DvP!$A$2:$A$31,0),MATCH($A164,DvP!$B$1:$F$1,0))</f>
        <v>40.5</v>
      </c>
      <c r="J164" s="8">
        <f t="array" ref="J164">INDEX(DvA!$B$2:$I$31,MATCH($E164,DvA!$A$2:$A$31,0),MATCH($K164,DvA!$B$1:$I$1,0))</f>
        <v>27.63</v>
      </c>
      <c r="K164" s="8" t="str">
        <f>VLOOKUP(B164,archtypes!A:B,2,false)</f>
        <v>Versatile Forward</v>
      </c>
      <c r="L164" s="8">
        <f t="shared" si="2"/>
        <v>17.5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 t="s">
        <v>12</v>
      </c>
      <c r="B165" s="1" t="s">
        <v>192</v>
      </c>
      <c r="C165" s="2">
        <v>3500.0</v>
      </c>
      <c r="D165" s="1" t="s">
        <v>31</v>
      </c>
      <c r="E165" s="1" t="s">
        <v>30</v>
      </c>
      <c r="F165" s="7" t="str">
        <f>iferror(VLOOKUP(B165,projections!A:B,2,false), "NOT ACTIVE")</f>
        <v>NOT ACTIVE</v>
      </c>
      <c r="G165" s="8" t="str">
        <f t="shared" si="1"/>
        <v>NOT ACTIVE</v>
      </c>
      <c r="H165" s="6">
        <f>iferror(VLOOKUP(B165,usage!A:B,2,false), "NOT ACTIVE")</f>
        <v>11.9</v>
      </c>
      <c r="I165" s="6">
        <f t="array" ref="I165">INDEX(DvP!$B$2:$F$31,MATCH($E165,DvP!$A$2:$A$31,0),MATCH($A165,DvP!$B$1:$F$1,0))</f>
        <v>40.23</v>
      </c>
      <c r="J165" s="8" t="str">
        <f t="array" ref="J165">INDEX(DvA!$B$2:$I$31,MATCH($E165,DvA!$A$2:$A$31,0),MATCH($K165,DvA!$B$1:$I$1,0))</f>
        <v>#N/A</v>
      </c>
      <c r="K165" s="8" t="str">
        <f>VLOOKUP(B165,archtypes!A:B,2,false)</f>
        <v>#N/A</v>
      </c>
      <c r="L165" s="8">
        <f t="shared" si="2"/>
        <v>17.5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 t="s">
        <v>32</v>
      </c>
      <c r="B166" s="1" t="s">
        <v>193</v>
      </c>
      <c r="C166" s="2">
        <v>3500.0</v>
      </c>
      <c r="D166" s="1" t="s">
        <v>28</v>
      </c>
      <c r="E166" s="1" t="s">
        <v>27</v>
      </c>
      <c r="F166" s="7">
        <f>iferror(VLOOKUP(B166,projections!A:B,2,false), "NOT ACTIVE")</f>
        <v>2.2</v>
      </c>
      <c r="G166" s="8">
        <f t="shared" si="1"/>
        <v>0.6285714286</v>
      </c>
      <c r="H166" s="6">
        <f>iferror(VLOOKUP(B166,usage!A:B,2,false), "NOT ACTIVE")</f>
        <v>11.7</v>
      </c>
      <c r="I166" s="6">
        <f t="array" ref="I166">INDEX(DvP!$B$2:$F$31,MATCH($E166,DvP!$A$2:$A$31,0),MATCH($A166,DvP!$B$1:$F$1,0))</f>
        <v>39.55</v>
      </c>
      <c r="J166" s="8" t="str">
        <f t="array" ref="J166">INDEX(DvA!$B$2:$I$31,MATCH($E166,DvA!$A$2:$A$31,0),MATCH($K166,DvA!$B$1:$I$1,0))</f>
        <v>#N/A</v>
      </c>
      <c r="K166" s="8" t="str">
        <f>VLOOKUP(B166,archtypes!A:B,2,false)</f>
        <v>#N/A</v>
      </c>
      <c r="L166" s="8">
        <f t="shared" si="2"/>
        <v>17.5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 t="s">
        <v>16</v>
      </c>
      <c r="B167" s="1" t="s">
        <v>194</v>
      </c>
      <c r="C167" s="2">
        <v>3500.0</v>
      </c>
      <c r="D167" s="1" t="s">
        <v>22</v>
      </c>
      <c r="E167" s="1" t="s">
        <v>21</v>
      </c>
      <c r="F167" s="7">
        <f>iferror(VLOOKUP(B167,projections!A:B,2,false), "NOT ACTIVE")</f>
        <v>0.2</v>
      </c>
      <c r="G167" s="8">
        <f t="shared" si="1"/>
        <v>0.05714285714</v>
      </c>
      <c r="H167" s="6">
        <f>iferror(VLOOKUP(B167,usage!A:B,2,false), "NOT ACTIVE")</f>
        <v>22.2</v>
      </c>
      <c r="I167" s="6">
        <f t="array" ref="I167">INDEX(DvP!$B$2:$F$31,MATCH($E167,DvP!$A$2:$A$31,0),MATCH($A167,DvP!$B$1:$F$1,0))</f>
        <v>47.32</v>
      </c>
      <c r="J167" s="8" t="str">
        <f t="array" ref="J167">INDEX(DvA!$B$2:$I$31,MATCH($E167,DvA!$A$2:$A$31,0),MATCH($K167,DvA!$B$1:$I$1,0))</f>
        <v>#N/A</v>
      </c>
      <c r="K167" s="8" t="str">
        <f>VLOOKUP(B167,archtypes!A:B,2,false)</f>
        <v>#N/A</v>
      </c>
      <c r="L167" s="8">
        <f t="shared" si="2"/>
        <v>17.5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 t="s">
        <v>38</v>
      </c>
      <c r="B168" s="1" t="s">
        <v>195</v>
      </c>
      <c r="C168" s="2">
        <v>3500.0</v>
      </c>
      <c r="D168" s="1" t="s">
        <v>22</v>
      </c>
      <c r="E168" s="1" t="s">
        <v>21</v>
      </c>
      <c r="F168" s="7">
        <f>iferror(VLOOKUP(B168,projections!A:B,2,false), "NOT ACTIVE")</f>
        <v>2</v>
      </c>
      <c r="G168" s="8">
        <f t="shared" si="1"/>
        <v>0.5714285714</v>
      </c>
      <c r="H168" s="6">
        <f>iferror(VLOOKUP(B168,usage!A:B,2,false), "NOT ACTIVE")</f>
        <v>16.7</v>
      </c>
      <c r="I168" s="6">
        <f t="array" ref="I168">INDEX(DvP!$B$2:$F$31,MATCH($E168,DvP!$A$2:$A$31,0),MATCH($A168,DvP!$B$1:$F$1,0))</f>
        <v>48.15</v>
      </c>
      <c r="J168" s="8" t="str">
        <f t="array" ref="J168">INDEX(DvA!$B$2:$I$31,MATCH($E168,DvA!$A$2:$A$31,0),MATCH($K168,DvA!$B$1:$I$1,0))</f>
        <v>#N/A</v>
      </c>
      <c r="K168" s="8" t="str">
        <f>VLOOKUP(B168,archtypes!A:B,2,false)</f>
        <v>#N/A</v>
      </c>
      <c r="L168" s="8">
        <f t="shared" si="2"/>
        <v>17.5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 t="s">
        <v>38</v>
      </c>
      <c r="B169" s="1" t="s">
        <v>196</v>
      </c>
      <c r="C169" s="2">
        <v>3500.0</v>
      </c>
      <c r="D169" s="1" t="s">
        <v>18</v>
      </c>
      <c r="E169" s="1" t="s">
        <v>19</v>
      </c>
      <c r="F169" s="7">
        <f>iferror(VLOOKUP(B169,projections!A:B,2,false), "NOT ACTIVE")</f>
        <v>0.1</v>
      </c>
      <c r="G169" s="8">
        <f t="shared" si="1"/>
        <v>0.02857142857</v>
      </c>
      <c r="H169" s="6">
        <f>iferror(VLOOKUP(B169,usage!A:B,2,false), "NOT ACTIVE")</f>
        <v>19.9</v>
      </c>
      <c r="I169" s="6">
        <f t="array" ref="I169">INDEX(DvP!$B$2:$F$31,MATCH($E169,DvP!$A$2:$A$31,0),MATCH($A169,DvP!$B$1:$F$1,0))</f>
        <v>40.5</v>
      </c>
      <c r="J169" s="8">
        <f t="array" ref="J169">INDEX(DvA!$B$2:$I$31,MATCH($E169,DvA!$A$2:$A$31,0),MATCH($K169,DvA!$B$1:$I$1,0))</f>
        <v>27.63</v>
      </c>
      <c r="K169" s="8" t="str">
        <f>VLOOKUP(B169,archtypes!A:B,2,false)</f>
        <v>Versatile Forward</v>
      </c>
      <c r="L169" s="8">
        <f t="shared" si="2"/>
        <v>17.5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 t="s">
        <v>16</v>
      </c>
      <c r="B170" s="1" t="s">
        <v>197</v>
      </c>
      <c r="C170" s="2">
        <v>3500.0</v>
      </c>
      <c r="D170" s="1" t="s">
        <v>24</v>
      </c>
      <c r="E170" s="1" t="s">
        <v>25</v>
      </c>
      <c r="F170" s="7">
        <f>iferror(VLOOKUP(B170,projections!A:B,2,false), "NOT ACTIVE")</f>
        <v>1.6</v>
      </c>
      <c r="G170" s="8">
        <f t="shared" si="1"/>
        <v>0.4571428571</v>
      </c>
      <c r="H170" s="6">
        <f>iferror(VLOOKUP(B170,usage!A:B,2,false), "NOT ACTIVE")</f>
        <v>17</v>
      </c>
      <c r="I170" s="6">
        <f t="array" ref="I170">INDEX(DvP!$B$2:$F$31,MATCH($E170,DvP!$A$2:$A$31,0),MATCH($A170,DvP!$B$1:$F$1,0))</f>
        <v>36.14</v>
      </c>
      <c r="J170" s="8" t="str">
        <f t="array" ref="J170">INDEX(DvA!$B$2:$I$31,MATCH($E170,DvA!$A$2:$A$31,0),MATCH($K170,DvA!$B$1:$I$1,0))</f>
        <v>#N/A</v>
      </c>
      <c r="K170" s="8" t="str">
        <f>VLOOKUP(B170,archtypes!A:B,2,false)</f>
        <v>#N/A</v>
      </c>
      <c r="L170" s="8">
        <f t="shared" si="2"/>
        <v>17.5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 t="s">
        <v>32</v>
      </c>
      <c r="B171" s="1" t="s">
        <v>198</v>
      </c>
      <c r="C171" s="2">
        <v>3500.0</v>
      </c>
      <c r="D171" s="1" t="s">
        <v>27</v>
      </c>
      <c r="E171" s="1" t="s">
        <v>28</v>
      </c>
      <c r="F171" s="7" t="str">
        <f>iferror(VLOOKUP(B171,projections!A:B,2,false), "NOT ACTIVE")</f>
        <v>NOT ACTIVE</v>
      </c>
      <c r="G171" s="8" t="str">
        <f t="shared" si="1"/>
        <v>NOT ACTIVE</v>
      </c>
      <c r="H171" s="6">
        <f>iferror(VLOOKUP(B171,usage!A:B,2,false), "NOT ACTIVE")</f>
        <v>10.1</v>
      </c>
      <c r="I171" s="6">
        <f t="array" ref="I171">INDEX(DvP!$B$2:$F$31,MATCH($E171,DvP!$A$2:$A$31,0),MATCH($A171,DvP!$B$1:$F$1,0))</f>
        <v>42.5</v>
      </c>
      <c r="J171" s="8">
        <f t="array" ref="J171">INDEX(DvA!$B$2:$I$31,MATCH($E171,DvA!$A$2:$A$31,0),MATCH($K171,DvA!$B$1:$I$1,0))</f>
        <v>20.24</v>
      </c>
      <c r="K171" s="8" t="str">
        <f>VLOOKUP(B171,archtypes!A:B,2,false)</f>
        <v>3 and D Wing</v>
      </c>
      <c r="L171" s="8">
        <f t="shared" si="2"/>
        <v>17.5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 t="s">
        <v>38</v>
      </c>
      <c r="B172" s="1" t="s">
        <v>199</v>
      </c>
      <c r="C172" s="2">
        <v>3500.0</v>
      </c>
      <c r="D172" s="1" t="s">
        <v>28</v>
      </c>
      <c r="E172" s="1" t="s">
        <v>27</v>
      </c>
      <c r="F172" s="7">
        <f>iferror(VLOOKUP(B172,projections!A:B,2,false), "NOT ACTIVE")</f>
        <v>0</v>
      </c>
      <c r="G172" s="8">
        <f t="shared" si="1"/>
        <v>0</v>
      </c>
      <c r="H172" s="6">
        <f>iferror(VLOOKUP(B172,usage!A:B,2,false), "NOT ACTIVE")</f>
        <v>23.2</v>
      </c>
      <c r="I172" s="6">
        <f t="array" ref="I172">INDEX(DvP!$B$2:$F$31,MATCH($E172,DvP!$A$2:$A$31,0),MATCH($A172,DvP!$B$1:$F$1,0))</f>
        <v>38.97</v>
      </c>
      <c r="J172" s="8" t="str">
        <f t="array" ref="J172">INDEX(DvA!$B$2:$I$31,MATCH($E172,DvA!$A$2:$A$31,0),MATCH($K172,DvA!$B$1:$I$1,0))</f>
        <v>#N/A</v>
      </c>
      <c r="K172" s="8" t="str">
        <f>VLOOKUP(B172,archtypes!A:B,2,false)</f>
        <v>#N/A</v>
      </c>
      <c r="L172" s="8">
        <f t="shared" si="2"/>
        <v>17.5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 t="s">
        <v>42</v>
      </c>
      <c r="B173" s="1" t="s">
        <v>200</v>
      </c>
      <c r="C173" s="2">
        <v>3500.0</v>
      </c>
      <c r="D173" s="1" t="s">
        <v>21</v>
      </c>
      <c r="E173" s="1" t="s">
        <v>22</v>
      </c>
      <c r="F173" s="7">
        <f>iferror(VLOOKUP(B173,projections!A:B,2,false), "NOT ACTIVE")</f>
        <v>0.5</v>
      </c>
      <c r="G173" s="8">
        <f t="shared" si="1"/>
        <v>0.1428571429</v>
      </c>
      <c r="H173" s="6">
        <f>iferror(VLOOKUP(B173,usage!A:B,2,false), "NOT ACTIVE")</f>
        <v>17.6</v>
      </c>
      <c r="I173" s="6">
        <f t="array" ref="I173">INDEX(DvP!$B$2:$F$31,MATCH($E173,DvP!$A$2:$A$31,0),MATCH($A173,DvP!$B$1:$F$1,0))</f>
        <v>59.84</v>
      </c>
      <c r="J173" s="8" t="str">
        <f t="array" ref="J173">INDEX(DvA!$B$2:$I$31,MATCH($E173,DvA!$A$2:$A$31,0),MATCH($K173,DvA!$B$1:$I$1,0))</f>
        <v>#N/A</v>
      </c>
      <c r="K173" s="8" t="str">
        <f>VLOOKUP(B173,archtypes!A:B,2,false)</f>
        <v>#N/A</v>
      </c>
      <c r="L173" s="8">
        <f t="shared" si="2"/>
        <v>17.5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 t="s">
        <v>32</v>
      </c>
      <c r="B174" s="1" t="s">
        <v>201</v>
      </c>
      <c r="C174" s="2">
        <v>3500.0</v>
      </c>
      <c r="D174" s="1" t="s">
        <v>22</v>
      </c>
      <c r="E174" s="1" t="s">
        <v>21</v>
      </c>
      <c r="F174" s="7">
        <f>iferror(VLOOKUP(B174,projections!A:B,2,false), "NOT ACTIVE")</f>
        <v>17</v>
      </c>
      <c r="G174" s="8">
        <f t="shared" si="1"/>
        <v>4.857142857</v>
      </c>
      <c r="H174" s="6">
        <f>iferror(VLOOKUP(B174,usage!A:B,2,false), "NOT ACTIVE")</f>
        <v>17.2</v>
      </c>
      <c r="I174" s="6">
        <f t="array" ref="I174">INDEX(DvP!$B$2:$F$31,MATCH($E174,DvP!$A$2:$A$31,0),MATCH($A174,DvP!$B$1:$F$1,0))</f>
        <v>46.49</v>
      </c>
      <c r="J174" s="8">
        <f t="array" ref="J174">INDEX(DvA!$B$2:$I$31,MATCH($E174,DvA!$A$2:$A$31,0),MATCH($K174,DvA!$B$1:$I$1,0))</f>
        <v>21.03</v>
      </c>
      <c r="K174" s="8" t="str">
        <f>VLOOKUP(B174,archtypes!A:B,2,false)</f>
        <v>Shooting Wing</v>
      </c>
      <c r="L174" s="8">
        <f t="shared" si="2"/>
        <v>17.5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 t="s">
        <v>16</v>
      </c>
      <c r="B175" s="1" t="s">
        <v>202</v>
      </c>
      <c r="C175" s="2">
        <v>3500.0</v>
      </c>
      <c r="D175" s="1" t="s">
        <v>18</v>
      </c>
      <c r="E175" s="1" t="s">
        <v>19</v>
      </c>
      <c r="F175" s="7">
        <f>iferror(VLOOKUP(B175,projections!A:B,2,false), "NOT ACTIVE")</f>
        <v>14.2</v>
      </c>
      <c r="G175" s="8">
        <f t="shared" si="1"/>
        <v>4.057142857</v>
      </c>
      <c r="H175" s="6">
        <f>iferror(VLOOKUP(B175,usage!A:B,2,false), "NOT ACTIVE")</f>
        <v>7.3</v>
      </c>
      <c r="I175" s="6">
        <f t="array" ref="I175">INDEX(DvP!$B$2:$F$31,MATCH($E175,DvP!$A$2:$A$31,0),MATCH($A175,DvP!$B$1:$F$1,0))</f>
        <v>44.43</v>
      </c>
      <c r="J175" s="8" t="str">
        <f t="array" ref="J175">INDEX(DvA!$B$2:$I$31,MATCH($E175,DvA!$A$2:$A$31,0),MATCH($K175,DvA!$B$1:$I$1,0))</f>
        <v>#N/A</v>
      </c>
      <c r="K175" s="8" t="str">
        <f>VLOOKUP(B175,archtypes!A:B,2,false)</f>
        <v>#N/A</v>
      </c>
      <c r="L175" s="8">
        <f t="shared" si="2"/>
        <v>17.5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 t="s">
        <v>16</v>
      </c>
      <c r="B176" s="1" t="s">
        <v>203</v>
      </c>
      <c r="C176" s="2">
        <v>3500.0</v>
      </c>
      <c r="D176" s="1" t="s">
        <v>25</v>
      </c>
      <c r="E176" s="1" t="s">
        <v>24</v>
      </c>
      <c r="F176" s="7">
        <f>iferror(VLOOKUP(B176,projections!A:B,2,false), "NOT ACTIVE")</f>
        <v>0.3</v>
      </c>
      <c r="G176" s="8">
        <f t="shared" si="1"/>
        <v>0.08571428571</v>
      </c>
      <c r="H176" s="6">
        <f>iferror(VLOOKUP(B176,usage!A:B,2,false), "NOT ACTIVE")</f>
        <v>18.2</v>
      </c>
      <c r="I176" s="6">
        <f t="array" ref="I176">INDEX(DvP!$B$2:$F$31,MATCH($E176,DvP!$A$2:$A$31,0),MATCH($A176,DvP!$B$1:$F$1,0))</f>
        <v>48.67</v>
      </c>
      <c r="J176" s="8" t="str">
        <f t="array" ref="J176">INDEX(DvA!$B$2:$I$31,MATCH($E176,DvA!$A$2:$A$31,0),MATCH($K176,DvA!$B$1:$I$1,0))</f>
        <v>#N/A</v>
      </c>
      <c r="K176" s="8" t="str">
        <f>VLOOKUP(B176,archtypes!A:B,2,false)</f>
        <v>#N/A</v>
      </c>
      <c r="L176" s="8">
        <f t="shared" si="2"/>
        <v>17.5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 t="s">
        <v>32</v>
      </c>
      <c r="B177" s="1" t="s">
        <v>204</v>
      </c>
      <c r="C177" s="2">
        <v>3500.0</v>
      </c>
      <c r="D177" s="1" t="s">
        <v>15</v>
      </c>
      <c r="E177" s="1" t="s">
        <v>14</v>
      </c>
      <c r="F177" s="7">
        <f>iferror(VLOOKUP(B177,projections!A:B,2,false), "NOT ACTIVE")</f>
        <v>0</v>
      </c>
      <c r="G177" s="8">
        <f t="shared" si="1"/>
        <v>0</v>
      </c>
      <c r="H177" s="6">
        <f>iferror(VLOOKUP(B177,usage!A:B,2,false), "NOT ACTIVE")</f>
        <v>18.7</v>
      </c>
      <c r="I177" s="6">
        <f t="array" ref="I177">INDEX(DvP!$B$2:$F$31,MATCH($E177,DvP!$A$2:$A$31,0),MATCH($A177,DvP!$B$1:$F$1,0))</f>
        <v>44.13</v>
      </c>
      <c r="J177" s="8" t="str">
        <f t="array" ref="J177">INDEX(DvA!$B$2:$I$31,MATCH($E177,DvA!$A$2:$A$31,0),MATCH($K177,DvA!$B$1:$I$1,0))</f>
        <v>#N/A</v>
      </c>
      <c r="K177" s="8" t="str">
        <f>VLOOKUP(B177,archtypes!A:B,2,false)</f>
        <v>#N/A</v>
      </c>
      <c r="L177" s="8">
        <f t="shared" si="2"/>
        <v>17.5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" t="s">
        <v>38</v>
      </c>
      <c r="B178" s="1" t="s">
        <v>205</v>
      </c>
      <c r="C178" s="2">
        <v>3500.0</v>
      </c>
      <c r="D178" s="1" t="s">
        <v>30</v>
      </c>
      <c r="E178" s="1" t="s">
        <v>31</v>
      </c>
      <c r="F178" s="7">
        <f>iferror(VLOOKUP(B178,projections!A:B,2,false), "NOT ACTIVE")</f>
        <v>0</v>
      </c>
      <c r="G178" s="8">
        <f t="shared" si="1"/>
        <v>0</v>
      </c>
      <c r="H178" s="6">
        <f>iferror(VLOOKUP(B178,usage!A:B,2,false), "NOT ACTIVE")</f>
        <v>15.9</v>
      </c>
      <c r="I178" s="6">
        <f t="array" ref="I178">INDEX(DvP!$B$2:$F$31,MATCH($E178,DvP!$A$2:$A$31,0),MATCH($A178,DvP!$B$1:$F$1,0))</f>
        <v>42.62</v>
      </c>
      <c r="J178" s="8" t="str">
        <f t="array" ref="J178">INDEX(DvA!$B$2:$I$31,MATCH($E178,DvA!$A$2:$A$31,0),MATCH($K178,DvA!$B$1:$I$1,0))</f>
        <v>#N/A</v>
      </c>
      <c r="K178" s="8" t="str">
        <f>VLOOKUP(B178,archtypes!A:B,2,false)</f>
        <v>#N/A</v>
      </c>
      <c r="L178" s="8">
        <f t="shared" si="2"/>
        <v>17.5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" t="s">
        <v>38</v>
      </c>
      <c r="B179" s="1" t="s">
        <v>206</v>
      </c>
      <c r="C179" s="2">
        <v>3500.0</v>
      </c>
      <c r="D179" s="1" t="s">
        <v>30</v>
      </c>
      <c r="E179" s="1" t="s">
        <v>31</v>
      </c>
      <c r="F179" s="7">
        <f>iferror(VLOOKUP(B179,projections!A:B,2,false), "NOT ACTIVE")</f>
        <v>1.8</v>
      </c>
      <c r="G179" s="8">
        <f t="shared" si="1"/>
        <v>0.5142857143</v>
      </c>
      <c r="H179" s="6">
        <f>iferror(VLOOKUP(B179,usage!A:B,2,false), "NOT ACTIVE")</f>
        <v>12.2</v>
      </c>
      <c r="I179" s="6">
        <f t="array" ref="I179">INDEX(DvP!$B$2:$F$31,MATCH($E179,DvP!$A$2:$A$31,0),MATCH($A179,DvP!$B$1:$F$1,0))</f>
        <v>42.62</v>
      </c>
      <c r="J179" s="8" t="str">
        <f t="array" ref="J179">INDEX(DvA!$B$2:$I$31,MATCH($E179,DvA!$A$2:$A$31,0),MATCH($K179,DvA!$B$1:$I$1,0))</f>
        <v>#N/A</v>
      </c>
      <c r="K179" s="8" t="str">
        <f>VLOOKUP(B179,archtypes!A:B,2,false)</f>
        <v>#N/A</v>
      </c>
      <c r="L179" s="8">
        <f t="shared" si="2"/>
        <v>17.5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" t="s">
        <v>42</v>
      </c>
      <c r="B180" s="1" t="s">
        <v>207</v>
      </c>
      <c r="C180" s="2">
        <v>3500.0</v>
      </c>
      <c r="D180" s="1" t="s">
        <v>15</v>
      </c>
      <c r="E180" s="1" t="s">
        <v>14</v>
      </c>
      <c r="F180" s="7">
        <f>iferror(VLOOKUP(B180,projections!A:B,2,false), "NOT ACTIVE")</f>
        <v>7.1</v>
      </c>
      <c r="G180" s="8">
        <f t="shared" si="1"/>
        <v>2.028571429</v>
      </c>
      <c r="H180" s="6">
        <f>iferror(VLOOKUP(B180,usage!A:B,2,false), "NOT ACTIVE")</f>
        <v>13.3</v>
      </c>
      <c r="I180" s="6">
        <f t="array" ref="I180">INDEX(DvP!$B$2:$F$31,MATCH($E180,DvP!$A$2:$A$31,0),MATCH($A180,DvP!$B$1:$F$1,0))</f>
        <v>65.34</v>
      </c>
      <c r="J180" s="8">
        <f t="array" ref="J180">INDEX(DvA!$B$2:$I$31,MATCH($E180,DvA!$A$2:$A$31,0),MATCH($K180,DvA!$B$1:$I$1,0))</f>
        <v>33.27</v>
      </c>
      <c r="K180" s="8" t="str">
        <f>VLOOKUP(B180,archtypes!A:B,2,false)</f>
        <v>Post Big</v>
      </c>
      <c r="L180" s="8">
        <f t="shared" si="2"/>
        <v>17.5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" t="s">
        <v>42</v>
      </c>
      <c r="B181" s="1" t="s">
        <v>208</v>
      </c>
      <c r="C181" s="2">
        <v>3500.0</v>
      </c>
      <c r="D181" s="1" t="s">
        <v>19</v>
      </c>
      <c r="E181" s="1" t="s">
        <v>18</v>
      </c>
      <c r="F181" s="7">
        <f>iferror(VLOOKUP(B181,projections!A:B,2,false), "NOT ACTIVE")</f>
        <v>8.5</v>
      </c>
      <c r="G181" s="8">
        <f t="shared" si="1"/>
        <v>2.428571429</v>
      </c>
      <c r="H181" s="6">
        <f>iferror(VLOOKUP(B181,usage!A:B,2,false), "NOT ACTIVE")</f>
        <v>16.5</v>
      </c>
      <c r="I181" s="6">
        <f t="array" ref="I181">INDEX(DvP!$B$2:$F$31,MATCH($E181,DvP!$A$2:$A$31,0),MATCH($A181,DvP!$B$1:$F$1,0))</f>
        <v>51.47</v>
      </c>
      <c r="J181" s="8" t="str">
        <f t="array" ref="J181">INDEX(DvA!$B$2:$I$31,MATCH($E181,DvA!$A$2:$A$31,0),MATCH($K181,DvA!$B$1:$I$1,0))</f>
        <v>#N/A</v>
      </c>
      <c r="K181" s="8" t="str">
        <f>VLOOKUP(B181,archtypes!A:B,2,false)</f>
        <v>#N/A</v>
      </c>
      <c r="L181" s="8">
        <f t="shared" si="2"/>
        <v>17.5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" t="s">
        <v>38</v>
      </c>
      <c r="B182" s="1" t="s">
        <v>209</v>
      </c>
      <c r="C182" s="2">
        <v>3500.0</v>
      </c>
      <c r="D182" s="1" t="s">
        <v>21</v>
      </c>
      <c r="E182" s="1" t="s">
        <v>22</v>
      </c>
      <c r="F182" s="7">
        <f>iferror(VLOOKUP(B182,projections!A:B,2,false), "NOT ACTIVE")</f>
        <v>0</v>
      </c>
      <c r="G182" s="8">
        <f t="shared" si="1"/>
        <v>0</v>
      </c>
      <c r="H182" s="6">
        <f>iferror(VLOOKUP(B182,usage!A:B,2,false), "NOT ACTIVE")</f>
        <v>18.5</v>
      </c>
      <c r="I182" s="6">
        <f t="array" ref="I182">INDEX(DvP!$B$2:$F$31,MATCH($E182,DvP!$A$2:$A$31,0),MATCH($A182,DvP!$B$1:$F$1,0))</f>
        <v>49.36</v>
      </c>
      <c r="J182" s="8" t="str">
        <f t="array" ref="J182">INDEX(DvA!$B$2:$I$31,MATCH($E182,DvA!$A$2:$A$31,0),MATCH($K182,DvA!$B$1:$I$1,0))</f>
        <v>#N/A</v>
      </c>
      <c r="K182" s="8" t="str">
        <f>VLOOKUP(B182,archtypes!A:B,2,false)</f>
        <v>#N/A</v>
      </c>
      <c r="L182" s="8">
        <f t="shared" si="2"/>
        <v>17.5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" t="s">
        <v>42</v>
      </c>
      <c r="B183" s="1" t="s">
        <v>210</v>
      </c>
      <c r="C183" s="2">
        <v>3500.0</v>
      </c>
      <c r="D183" s="1" t="s">
        <v>25</v>
      </c>
      <c r="E183" s="1" t="s">
        <v>24</v>
      </c>
      <c r="F183" s="7" t="str">
        <f>iferror(VLOOKUP(B183,projections!A:B,2,false), "NOT ACTIVE")</f>
        <v>NOT ACTIVE</v>
      </c>
      <c r="G183" s="8" t="str">
        <f t="shared" si="1"/>
        <v>NOT ACTIVE</v>
      </c>
      <c r="H183" s="6">
        <f>iferror(VLOOKUP(B183,usage!A:B,2,false), "NOT ACTIVE")</f>
        <v>10.7</v>
      </c>
      <c r="I183" s="6">
        <f t="array" ref="I183">INDEX(DvP!$B$2:$F$31,MATCH($E183,DvP!$A$2:$A$31,0),MATCH($A183,DvP!$B$1:$F$1,0))</f>
        <v>42.76</v>
      </c>
      <c r="J183" s="8" t="str">
        <f t="array" ref="J183">INDEX(DvA!$B$2:$I$31,MATCH($E183,DvA!$A$2:$A$31,0),MATCH($K183,DvA!$B$1:$I$1,0))</f>
        <v>#N/A</v>
      </c>
      <c r="K183" s="8" t="str">
        <f>VLOOKUP(B183,archtypes!A:B,2,false)</f>
        <v>#N/A</v>
      </c>
      <c r="L183" s="8">
        <f t="shared" si="2"/>
        <v>17.5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" t="s">
        <v>38</v>
      </c>
      <c r="B184" s="1" t="s">
        <v>211</v>
      </c>
      <c r="C184" s="2">
        <v>3500.0</v>
      </c>
      <c r="D184" s="1" t="s">
        <v>25</v>
      </c>
      <c r="E184" s="1" t="s">
        <v>24</v>
      </c>
      <c r="F184" s="7" t="str">
        <f>iferror(VLOOKUP(B184,projections!A:B,2,false), "NOT ACTIVE")</f>
        <v>NOT ACTIVE</v>
      </c>
      <c r="G184" s="8" t="str">
        <f t="shared" si="1"/>
        <v>NOT ACTIVE</v>
      </c>
      <c r="H184" s="6">
        <f>iferror(VLOOKUP(B184,usage!A:B,2,false), "NOT ACTIVE")</f>
        <v>25</v>
      </c>
      <c r="I184" s="6">
        <f t="array" ref="I184">INDEX(DvP!$B$2:$F$31,MATCH($E184,DvP!$A$2:$A$31,0),MATCH($A184,DvP!$B$1:$F$1,0))</f>
        <v>36.98</v>
      </c>
      <c r="J184" s="8" t="str">
        <f t="array" ref="J184">INDEX(DvA!$B$2:$I$31,MATCH($E184,DvA!$A$2:$A$31,0),MATCH($K184,DvA!$B$1:$I$1,0))</f>
        <v>#N/A</v>
      </c>
      <c r="K184" s="8" t="str">
        <f>VLOOKUP(B184,archtypes!A:B,2,false)</f>
        <v>#N/A</v>
      </c>
      <c r="L184" s="8">
        <f t="shared" si="2"/>
        <v>17.5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" t="s">
        <v>16</v>
      </c>
      <c r="B185" s="1" t="s">
        <v>212</v>
      </c>
      <c r="C185" s="2">
        <v>3500.0</v>
      </c>
      <c r="D185" s="1" t="s">
        <v>18</v>
      </c>
      <c r="E185" s="1" t="s">
        <v>19</v>
      </c>
      <c r="F185" s="7">
        <f>iferror(VLOOKUP(B185,projections!A:B,2,false), "NOT ACTIVE")</f>
        <v>0.9</v>
      </c>
      <c r="G185" s="8">
        <f t="shared" si="1"/>
        <v>0.2571428571</v>
      </c>
      <c r="H185" s="6">
        <f>iferror(VLOOKUP(B185,usage!A:B,2,false), "NOT ACTIVE")</f>
        <v>24.7</v>
      </c>
      <c r="I185" s="6">
        <f t="array" ref="I185">INDEX(DvP!$B$2:$F$31,MATCH($E185,DvP!$A$2:$A$31,0),MATCH($A185,DvP!$B$1:$F$1,0))</f>
        <v>44.43</v>
      </c>
      <c r="J185" s="8" t="str">
        <f t="array" ref="J185">INDEX(DvA!$B$2:$I$31,MATCH($E185,DvA!$A$2:$A$31,0),MATCH($K185,DvA!$B$1:$I$1,0))</f>
        <v>#N/A</v>
      </c>
      <c r="K185" s="8" t="str">
        <f>VLOOKUP(B185,archtypes!A:B,2,false)</f>
        <v>#N/A</v>
      </c>
      <c r="L185" s="8">
        <f t="shared" si="2"/>
        <v>17.5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" t="s">
        <v>12</v>
      </c>
      <c r="B186" s="1" t="s">
        <v>213</v>
      </c>
      <c r="C186" s="2">
        <v>3500.0</v>
      </c>
      <c r="D186" s="1" t="s">
        <v>18</v>
      </c>
      <c r="E186" s="1" t="s">
        <v>19</v>
      </c>
      <c r="F186" s="7">
        <f>iferror(VLOOKUP(B186,projections!A:B,2,false), "NOT ACTIVE")</f>
        <v>0</v>
      </c>
      <c r="G186" s="8">
        <f t="shared" si="1"/>
        <v>0</v>
      </c>
      <c r="H186" s="6">
        <f>iferror(VLOOKUP(B186,usage!A:B,2,false), "NOT ACTIVE")</f>
        <v>15.1</v>
      </c>
      <c r="I186" s="6">
        <f t="array" ref="I186">INDEX(DvP!$B$2:$F$31,MATCH($E186,DvP!$A$2:$A$31,0),MATCH($A186,DvP!$B$1:$F$1,0))</f>
        <v>44.74</v>
      </c>
      <c r="J186" s="8" t="str">
        <f t="array" ref="J186">INDEX(DvA!$B$2:$I$31,MATCH($E186,DvA!$A$2:$A$31,0),MATCH($K186,DvA!$B$1:$I$1,0))</f>
        <v>#N/A</v>
      </c>
      <c r="K186" s="8" t="str">
        <f>VLOOKUP(B186,archtypes!A:B,2,false)</f>
        <v>#N/A</v>
      </c>
      <c r="L186" s="8">
        <f t="shared" si="2"/>
        <v>17.5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" t="s">
        <v>12</v>
      </c>
      <c r="B187" s="1" t="s">
        <v>214</v>
      </c>
      <c r="C187" s="2">
        <v>3500.0</v>
      </c>
      <c r="D187" s="1" t="s">
        <v>19</v>
      </c>
      <c r="E187" s="1" t="s">
        <v>18</v>
      </c>
      <c r="F187" s="7">
        <f>iferror(VLOOKUP(B187,projections!A:B,2,false), "NOT ACTIVE")</f>
        <v>1.7</v>
      </c>
      <c r="G187" s="8">
        <f t="shared" si="1"/>
        <v>0.4857142857</v>
      </c>
      <c r="H187" s="6">
        <f>iferror(VLOOKUP(B187,usage!A:B,2,false), "NOT ACTIVE")</f>
        <v>16.7</v>
      </c>
      <c r="I187" s="6">
        <f t="array" ref="I187">INDEX(DvP!$B$2:$F$31,MATCH($E187,DvP!$A$2:$A$31,0),MATCH($A187,DvP!$B$1:$F$1,0))</f>
        <v>57.33</v>
      </c>
      <c r="J187" s="8" t="str">
        <f t="array" ref="J187">INDEX(DvA!$B$2:$I$31,MATCH($E187,DvA!$A$2:$A$31,0),MATCH($K187,DvA!$B$1:$I$1,0))</f>
        <v>#N/A</v>
      </c>
      <c r="K187" s="8" t="str">
        <f>VLOOKUP(B187,archtypes!A:B,2,false)</f>
        <v>#N/A</v>
      </c>
      <c r="L187" s="8">
        <f t="shared" si="2"/>
        <v>17.5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 t="s">
        <v>32</v>
      </c>
      <c r="B188" s="1" t="s">
        <v>215</v>
      </c>
      <c r="C188" s="2">
        <v>3500.0</v>
      </c>
      <c r="D188" s="1" t="s">
        <v>18</v>
      </c>
      <c r="E188" s="1" t="s">
        <v>19</v>
      </c>
      <c r="F188" s="7" t="str">
        <f>iferror(VLOOKUP(B188,projections!A:B,2,false), "NOT ACTIVE")</f>
        <v>NOT ACTIVE</v>
      </c>
      <c r="G188" s="8" t="str">
        <f t="shared" si="1"/>
        <v>NOT ACTIVE</v>
      </c>
      <c r="H188" s="6">
        <f>iferror(VLOOKUP(B188,usage!A:B,2,false), "NOT ACTIVE")</f>
        <v>9.2</v>
      </c>
      <c r="I188" s="6">
        <f t="array" ref="I188">INDEX(DvP!$B$2:$F$31,MATCH($E188,DvP!$A$2:$A$31,0),MATCH($A188,DvP!$B$1:$F$1,0))</f>
        <v>41.03</v>
      </c>
      <c r="J188" s="8" t="str">
        <f t="array" ref="J188">INDEX(DvA!$B$2:$I$31,MATCH($E188,DvA!$A$2:$A$31,0),MATCH($K188,DvA!$B$1:$I$1,0))</f>
        <v>#N/A</v>
      </c>
      <c r="K188" s="8" t="str">
        <f>VLOOKUP(B188,archtypes!A:B,2,false)</f>
        <v>#N/A</v>
      </c>
      <c r="L188" s="8">
        <f t="shared" si="2"/>
        <v>17.5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" t="s">
        <v>16</v>
      </c>
      <c r="B189" s="1" t="s">
        <v>216</v>
      </c>
      <c r="C189" s="2">
        <v>3500.0</v>
      </c>
      <c r="D189" s="1" t="s">
        <v>30</v>
      </c>
      <c r="E189" s="1" t="s">
        <v>31</v>
      </c>
      <c r="F189" s="7" t="str">
        <f>iferror(VLOOKUP(B189,projections!A:B,2,false), "NOT ACTIVE")</f>
        <v>NOT ACTIVE</v>
      </c>
      <c r="G189" s="8" t="str">
        <f t="shared" si="1"/>
        <v>NOT ACTIVE</v>
      </c>
      <c r="H189" s="6" t="str">
        <f>iferror(VLOOKUP(B189,usage!A:B,2,false), "NOT ACTIVE")</f>
        <v>NOT ACTIVE</v>
      </c>
      <c r="I189" s="6">
        <f t="array" ref="I189">INDEX(DvP!$B$2:$F$31,MATCH($E189,DvP!$A$2:$A$31,0),MATCH($A189,DvP!$B$1:$F$1,0))</f>
        <v>54.58</v>
      </c>
      <c r="J189" s="8" t="str">
        <f t="array" ref="J189">INDEX(DvA!$B$2:$I$31,MATCH($E189,DvA!$A$2:$A$31,0),MATCH($K189,DvA!$B$1:$I$1,0))</f>
        <v>#N/A</v>
      </c>
      <c r="K189" s="8" t="str">
        <f>VLOOKUP(B189,archtypes!A:B,2,false)</f>
        <v>#N/A</v>
      </c>
      <c r="L189" s="8">
        <f t="shared" si="2"/>
        <v>17.5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" t="s">
        <v>16</v>
      </c>
      <c r="B190" s="1" t="s">
        <v>217</v>
      </c>
      <c r="C190" s="2">
        <v>3500.0</v>
      </c>
      <c r="D190" s="1" t="s">
        <v>30</v>
      </c>
      <c r="E190" s="1" t="s">
        <v>31</v>
      </c>
      <c r="F190" s="7">
        <f>iferror(VLOOKUP(B190,projections!A:B,2,false), "NOT ACTIVE")</f>
        <v>1.4</v>
      </c>
      <c r="G190" s="8">
        <f t="shared" si="1"/>
        <v>0.4</v>
      </c>
      <c r="H190" s="6">
        <f>iferror(VLOOKUP(B190,usage!A:B,2,false), "NOT ACTIVE")</f>
        <v>15.4</v>
      </c>
      <c r="I190" s="6">
        <f t="array" ref="I190">INDEX(DvP!$B$2:$F$31,MATCH($E190,DvP!$A$2:$A$31,0),MATCH($A190,DvP!$B$1:$F$1,0))</f>
        <v>54.58</v>
      </c>
      <c r="J190" s="8" t="str">
        <f t="array" ref="J190">INDEX(DvA!$B$2:$I$31,MATCH($E190,DvA!$A$2:$A$31,0),MATCH($K190,DvA!$B$1:$I$1,0))</f>
        <v>#N/A</v>
      </c>
      <c r="K190" s="8" t="str">
        <f>VLOOKUP(B190,archtypes!A:B,2,false)</f>
        <v>#N/A</v>
      </c>
      <c r="L190" s="8">
        <f t="shared" si="2"/>
        <v>17.5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" t="s">
        <v>16</v>
      </c>
      <c r="B191" s="1" t="s">
        <v>218</v>
      </c>
      <c r="C191" s="2">
        <v>3500.0</v>
      </c>
      <c r="D191" s="1" t="s">
        <v>30</v>
      </c>
      <c r="E191" s="1" t="s">
        <v>31</v>
      </c>
      <c r="F191" s="7" t="str">
        <f>iferror(VLOOKUP(B191,projections!A:B,2,false), "NOT ACTIVE")</f>
        <v>NOT ACTIVE</v>
      </c>
      <c r="G191" s="8" t="str">
        <f t="shared" si="1"/>
        <v>NOT ACTIVE</v>
      </c>
      <c r="H191" s="6">
        <f>iferror(VLOOKUP(B191,usage!A:B,2,false), "NOT ACTIVE")</f>
        <v>13.3</v>
      </c>
      <c r="I191" s="6">
        <f t="array" ref="I191">INDEX(DvP!$B$2:$F$31,MATCH($E191,DvP!$A$2:$A$31,0),MATCH($A191,DvP!$B$1:$F$1,0))</f>
        <v>54.58</v>
      </c>
      <c r="J191" s="8" t="str">
        <f t="array" ref="J191">INDEX(DvA!$B$2:$I$31,MATCH($E191,DvA!$A$2:$A$31,0),MATCH($K191,DvA!$B$1:$I$1,0))</f>
        <v>#N/A</v>
      </c>
      <c r="K191" s="8" t="str">
        <f>VLOOKUP(B191,archtypes!A:B,2,false)</f>
        <v>#N/A</v>
      </c>
      <c r="L191" s="8">
        <f t="shared" si="2"/>
        <v>17.5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" t="s">
        <v>16</v>
      </c>
      <c r="B192" s="1" t="s">
        <v>219</v>
      </c>
      <c r="C192" s="2">
        <v>3500.0</v>
      </c>
      <c r="D192" s="1" t="s">
        <v>22</v>
      </c>
      <c r="E192" s="1" t="s">
        <v>21</v>
      </c>
      <c r="F192" s="7">
        <f>iferror(VLOOKUP(B192,projections!A:B,2,false), "NOT ACTIVE")</f>
        <v>20.1</v>
      </c>
      <c r="G192" s="8">
        <f t="shared" si="1"/>
        <v>5.742857143</v>
      </c>
      <c r="H192" s="6">
        <f>iferror(VLOOKUP(B192,usage!A:B,2,false), "NOT ACTIVE")</f>
        <v>18.7</v>
      </c>
      <c r="I192" s="6">
        <f t="array" ref="I192">INDEX(DvP!$B$2:$F$31,MATCH($E192,DvP!$A$2:$A$31,0),MATCH($A192,DvP!$B$1:$F$1,0))</f>
        <v>47.32</v>
      </c>
      <c r="J192" s="8">
        <f t="array" ref="J192">INDEX(DvA!$B$2:$I$31,MATCH($E192,DvA!$A$2:$A$31,0),MATCH($K192,DvA!$B$1:$I$1,0))</f>
        <v>18.07</v>
      </c>
      <c r="K192" s="8" t="str">
        <f>VLOOKUP(B192,archtypes!A:B,2,false)</f>
        <v>Versatile Big</v>
      </c>
      <c r="L192" s="8">
        <f t="shared" si="2"/>
        <v>17.5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" t="s">
        <v>32</v>
      </c>
      <c r="B193" s="1" t="s">
        <v>220</v>
      </c>
      <c r="C193" s="2">
        <v>3500.0</v>
      </c>
      <c r="D193" s="1" t="s">
        <v>21</v>
      </c>
      <c r="E193" s="1" t="s">
        <v>22</v>
      </c>
      <c r="F193" s="7">
        <f>iferror(VLOOKUP(B193,projections!A:B,2,false), "NOT ACTIVE")</f>
        <v>0</v>
      </c>
      <c r="G193" s="8">
        <f t="shared" si="1"/>
        <v>0</v>
      </c>
      <c r="H193" s="6">
        <f>iferror(VLOOKUP(B193,usage!A:B,2,false), "NOT ACTIVE")</f>
        <v>20.4</v>
      </c>
      <c r="I193" s="6">
        <f t="array" ref="I193">INDEX(DvP!$B$2:$F$31,MATCH($E193,DvP!$A$2:$A$31,0),MATCH($A193,DvP!$B$1:$F$1,0))</f>
        <v>45.77</v>
      </c>
      <c r="J193" s="8" t="str">
        <f t="array" ref="J193">INDEX(DvA!$B$2:$I$31,MATCH($E193,DvA!$A$2:$A$31,0),MATCH($K193,DvA!$B$1:$I$1,0))</f>
        <v>#N/A</v>
      </c>
      <c r="K193" s="8" t="str">
        <f>VLOOKUP(B193,archtypes!A:B,2,false)</f>
        <v>#N/A</v>
      </c>
      <c r="L193" s="8">
        <f t="shared" si="2"/>
        <v>17.5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" t="s">
        <v>42</v>
      </c>
      <c r="B194" s="1" t="s">
        <v>221</v>
      </c>
      <c r="C194" s="2">
        <v>3500.0</v>
      </c>
      <c r="D194" s="1" t="s">
        <v>24</v>
      </c>
      <c r="E194" s="1" t="s">
        <v>25</v>
      </c>
      <c r="F194" s="7" t="str">
        <f>iferror(VLOOKUP(B194,projections!A:B,2,false), "NOT ACTIVE")</f>
        <v>NOT ACTIVE</v>
      </c>
      <c r="G194" s="8" t="str">
        <f t="shared" si="1"/>
        <v>NOT ACTIVE</v>
      </c>
      <c r="H194" s="6">
        <f>iferror(VLOOKUP(B194,usage!A:B,2,false), "NOT ACTIVE")</f>
        <v>23.1</v>
      </c>
      <c r="I194" s="6">
        <f t="array" ref="I194">INDEX(DvP!$B$2:$F$31,MATCH($E194,DvP!$A$2:$A$31,0),MATCH($A194,DvP!$B$1:$F$1,0))</f>
        <v>52.94</v>
      </c>
      <c r="J194" s="8">
        <f t="array" ref="J194">INDEX(DvA!$B$2:$I$31,MATCH($E194,DvA!$A$2:$A$31,0),MATCH($K194,DvA!$B$1:$I$1,0))</f>
        <v>24.66</v>
      </c>
      <c r="K194" s="8" t="str">
        <f>VLOOKUP(B194,archtypes!A:B,2,false)</f>
        <v>Post Big</v>
      </c>
      <c r="L194" s="8">
        <f t="shared" si="2"/>
        <v>17.5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" t="s">
        <v>12</v>
      </c>
      <c r="B195" s="1" t="s">
        <v>222</v>
      </c>
      <c r="C195" s="2">
        <v>3500.0</v>
      </c>
      <c r="D195" s="1" t="s">
        <v>24</v>
      </c>
      <c r="E195" s="1" t="s">
        <v>25</v>
      </c>
      <c r="F195" s="7">
        <f>iferror(VLOOKUP(B195,projections!A:B,2,false), "NOT ACTIVE")</f>
        <v>0.3</v>
      </c>
      <c r="G195" s="8">
        <f t="shared" si="1"/>
        <v>0.08571428571</v>
      </c>
      <c r="H195" s="6">
        <f>iferror(VLOOKUP(B195,usage!A:B,2,false), "NOT ACTIVE")</f>
        <v>18.6</v>
      </c>
      <c r="I195" s="6">
        <f t="array" ref="I195">INDEX(DvP!$B$2:$F$31,MATCH($E195,DvP!$A$2:$A$31,0),MATCH($A195,DvP!$B$1:$F$1,0))</f>
        <v>40.5</v>
      </c>
      <c r="J195" s="8">
        <f t="array" ref="J195">INDEX(DvA!$B$2:$I$31,MATCH($E195,DvA!$A$2:$A$31,0),MATCH($K195,DvA!$B$1:$I$1,0))</f>
        <v>22.57</v>
      </c>
      <c r="K195" s="8" t="str">
        <f>VLOOKUP(B195,archtypes!A:B,2,false)</f>
        <v>Distributor</v>
      </c>
      <c r="L195" s="8">
        <f t="shared" si="2"/>
        <v>17.5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 t="s">
        <v>12</v>
      </c>
      <c r="B196" s="1" t="s">
        <v>223</v>
      </c>
      <c r="C196" s="2">
        <v>3500.0</v>
      </c>
      <c r="D196" s="1" t="s">
        <v>14</v>
      </c>
      <c r="E196" s="1" t="s">
        <v>15</v>
      </c>
      <c r="F196" s="7">
        <f>iferror(VLOOKUP(B196,projections!A:B,2,false), "NOT ACTIVE")</f>
        <v>0</v>
      </c>
      <c r="G196" s="8">
        <f t="shared" si="1"/>
        <v>0</v>
      </c>
      <c r="H196" s="6">
        <f>iferror(VLOOKUP(B196,usage!A:B,2,false), "NOT ACTIVE")</f>
        <v>18.4</v>
      </c>
      <c r="I196" s="6">
        <f t="array" ref="I196">INDEX(DvP!$B$2:$F$31,MATCH($E196,DvP!$A$2:$A$31,0),MATCH($A196,DvP!$B$1:$F$1,0))</f>
        <v>49.13</v>
      </c>
      <c r="J196" s="8" t="str">
        <f t="array" ref="J196">INDEX(DvA!$B$2:$I$31,MATCH($E196,DvA!$A$2:$A$31,0),MATCH($K196,DvA!$B$1:$I$1,0))</f>
        <v>#N/A</v>
      </c>
      <c r="K196" s="8" t="str">
        <f>VLOOKUP(B196,archtypes!A:B,2,false)</f>
        <v>#N/A</v>
      </c>
      <c r="L196" s="8">
        <f t="shared" si="2"/>
        <v>17.5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" t="s">
        <v>32</v>
      </c>
      <c r="B197" s="1" t="s">
        <v>224</v>
      </c>
      <c r="C197" s="2">
        <v>3500.0</v>
      </c>
      <c r="D197" s="1" t="s">
        <v>24</v>
      </c>
      <c r="E197" s="1" t="s">
        <v>25</v>
      </c>
      <c r="F197" s="7">
        <f>iferror(VLOOKUP(B197,projections!A:B,2,false), "NOT ACTIVE")</f>
        <v>0</v>
      </c>
      <c r="G197" s="8">
        <f t="shared" si="1"/>
        <v>0</v>
      </c>
      <c r="H197" s="6">
        <f>iferror(VLOOKUP(B197,usage!A:B,2,false), "NOT ACTIVE")</f>
        <v>12.7</v>
      </c>
      <c r="I197" s="6">
        <f t="array" ref="I197">INDEX(DvP!$B$2:$F$31,MATCH($E197,DvP!$A$2:$A$31,0),MATCH($A197,DvP!$B$1:$F$1,0))</f>
        <v>48.99</v>
      </c>
      <c r="J197" s="8">
        <f t="array" ref="J197">INDEX(DvA!$B$2:$I$31,MATCH($E197,DvA!$A$2:$A$31,0),MATCH($K197,DvA!$B$1:$I$1,0))</f>
        <v>37.97</v>
      </c>
      <c r="K197" s="8" t="str">
        <f>VLOOKUP(B197,archtypes!A:B,2,false)</f>
        <v>Combo Guard</v>
      </c>
      <c r="L197" s="8">
        <f t="shared" si="2"/>
        <v>17.5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" t="s">
        <v>38</v>
      </c>
      <c r="B198" s="1" t="s">
        <v>225</v>
      </c>
      <c r="C198" s="2">
        <v>3500.0</v>
      </c>
      <c r="D198" s="1" t="s">
        <v>28</v>
      </c>
      <c r="E198" s="1" t="s">
        <v>27</v>
      </c>
      <c r="F198" s="7">
        <f>iferror(VLOOKUP(B198,projections!A:B,2,false), "NOT ACTIVE")</f>
        <v>0</v>
      </c>
      <c r="G198" s="8">
        <f t="shared" si="1"/>
        <v>0</v>
      </c>
      <c r="H198" s="6">
        <f>iferror(VLOOKUP(B198,usage!A:B,2,false), "NOT ACTIVE")</f>
        <v>10.1</v>
      </c>
      <c r="I198" s="6">
        <f t="array" ref="I198">INDEX(DvP!$B$2:$F$31,MATCH($E198,DvP!$A$2:$A$31,0),MATCH($A198,DvP!$B$1:$F$1,0))</f>
        <v>38.97</v>
      </c>
      <c r="J198" s="8" t="str">
        <f t="array" ref="J198">INDEX(DvA!$B$2:$I$31,MATCH($E198,DvA!$A$2:$A$31,0),MATCH($K198,DvA!$B$1:$I$1,0))</f>
        <v>#N/A</v>
      </c>
      <c r="K198" s="8" t="str">
        <f>VLOOKUP(B198,archtypes!A:B,2,false)</f>
        <v>#N/A</v>
      </c>
      <c r="L198" s="8">
        <f t="shared" si="2"/>
        <v>17.5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" t="s">
        <v>16</v>
      </c>
      <c r="B199" s="1" t="s">
        <v>226</v>
      </c>
      <c r="C199" s="2">
        <v>3500.0</v>
      </c>
      <c r="D199" s="1" t="s">
        <v>22</v>
      </c>
      <c r="E199" s="1" t="s">
        <v>21</v>
      </c>
      <c r="F199" s="7">
        <f>iferror(VLOOKUP(B199,projections!A:B,2,false), "NOT ACTIVE")</f>
        <v>0</v>
      </c>
      <c r="G199" s="8">
        <f t="shared" si="1"/>
        <v>0</v>
      </c>
      <c r="H199" s="6">
        <f>iferror(VLOOKUP(B199,usage!A:B,2,false), "NOT ACTIVE")</f>
        <v>15.2</v>
      </c>
      <c r="I199" s="6">
        <f t="array" ref="I199">INDEX(DvP!$B$2:$F$31,MATCH($E199,DvP!$A$2:$A$31,0),MATCH($A199,DvP!$B$1:$F$1,0))</f>
        <v>47.32</v>
      </c>
      <c r="J199" s="8" t="str">
        <f t="array" ref="J199">INDEX(DvA!$B$2:$I$31,MATCH($E199,DvA!$A$2:$A$31,0),MATCH($K199,DvA!$B$1:$I$1,0))</f>
        <v>#N/A</v>
      </c>
      <c r="K199" s="8" t="str">
        <f>VLOOKUP(B199,archtypes!A:B,2,false)</f>
        <v>#N/A</v>
      </c>
      <c r="L199" s="8">
        <f t="shared" si="2"/>
        <v>17.5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" t="s">
        <v>12</v>
      </c>
      <c r="B200" s="1" t="s">
        <v>227</v>
      </c>
      <c r="C200" s="2">
        <v>3500.0</v>
      </c>
      <c r="D200" s="1" t="s">
        <v>15</v>
      </c>
      <c r="E200" s="1" t="s">
        <v>14</v>
      </c>
      <c r="F200" s="7">
        <f>iferror(VLOOKUP(B200,projections!A:B,2,false), "NOT ACTIVE")</f>
        <v>0.3</v>
      </c>
      <c r="G200" s="8">
        <f t="shared" si="1"/>
        <v>0.08571428571</v>
      </c>
      <c r="H200" s="6">
        <f>iferror(VLOOKUP(B200,usage!A:B,2,false), "NOT ACTIVE")</f>
        <v>19</v>
      </c>
      <c r="I200" s="6">
        <f t="array" ref="I200">INDEX(DvP!$B$2:$F$31,MATCH($E200,DvP!$A$2:$A$31,0),MATCH($A200,DvP!$B$1:$F$1,0))</f>
        <v>48.13</v>
      </c>
      <c r="J200" s="8">
        <f t="array" ref="J200">INDEX(DvA!$B$2:$I$31,MATCH($E200,DvA!$A$2:$A$31,0),MATCH($K200,DvA!$B$1:$I$1,0))</f>
        <v>49.09</v>
      </c>
      <c r="K200" s="8" t="str">
        <f>VLOOKUP(B200,archtypes!A:B,2,false)</f>
        <v>Combo Guard</v>
      </c>
      <c r="L200" s="8">
        <f t="shared" si="2"/>
        <v>17.5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" t="s">
        <v>32</v>
      </c>
      <c r="B201" s="1" t="s">
        <v>228</v>
      </c>
      <c r="C201" s="2">
        <v>3000.0</v>
      </c>
      <c r="D201" s="1" t="s">
        <v>18</v>
      </c>
      <c r="E201" s="1" t="s">
        <v>19</v>
      </c>
      <c r="F201" s="7" t="str">
        <f>iferror(VLOOKUP(B201,projections!A:B,2,false), "NOT ACTIVE")</f>
        <v>NOT ACTIVE</v>
      </c>
      <c r="G201" s="8" t="str">
        <f t="shared" si="1"/>
        <v>NOT ACTIVE</v>
      </c>
      <c r="H201" s="6" t="str">
        <f>iferror(VLOOKUP(B201,usage!A:B,2,false), "NOT ACTIVE")</f>
        <v>NOT ACTIVE</v>
      </c>
      <c r="I201" s="6">
        <f t="array" ref="I201">INDEX(DvP!$B$2:$F$31,MATCH($E201,DvP!$A$2:$A$31,0),MATCH($A201,DvP!$B$1:$F$1,0))</f>
        <v>41.03</v>
      </c>
      <c r="J201" s="8" t="str">
        <f t="array" ref="J201">INDEX(DvA!$B$2:$I$31,MATCH($E201,DvA!$A$2:$A$31,0),MATCH($K201,DvA!$B$1:$I$1,0))</f>
        <v>#N/A</v>
      </c>
      <c r="K201" s="8" t="str">
        <f>VLOOKUP(B201,archtypes!A:B,2,false)</f>
        <v>#N/A</v>
      </c>
      <c r="L201" s="8">
        <f t="shared" si="2"/>
        <v>15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"/>
      <c r="B202" s="1"/>
      <c r="C202" s="2"/>
      <c r="D202" s="1"/>
      <c r="E202" s="1"/>
      <c r="F202" s="7" t="str">
        <f>iferror(VLOOKUP(B202,projections!A:B,2,false), "NOT ACTIVE")</f>
        <v>NOT ACTIVE</v>
      </c>
      <c r="G202" s="8" t="str">
        <f t="shared" si="1"/>
        <v>NOT ACTIVE</v>
      </c>
      <c r="H202" s="6" t="str">
        <f>iferror(VLOOKUP(B202,usage!A:B,2,false), "NOT ACTIVE")</f>
        <v>NOT ACTIVE</v>
      </c>
      <c r="I202" s="6" t="str">
        <f t="array" ref="I202">INDEX(DvP!$B$2:$F$31,MATCH($E202,DvP!$A$2:$A$31,0),MATCH($A202,DvP!$B$1:$F$1,0))</f>
        <v>#N/A</v>
      </c>
      <c r="J202" s="8" t="str">
        <f t="array" ref="J202">INDEX(DvA!$B$2:$I$31,MATCH($E202,DvA!$A$2:$A$31,0),MATCH($K202,DvA!$B$1:$I$1,0))</f>
        <v>#N/A</v>
      </c>
      <c r="K202" s="8" t="str">
        <f>VLOOKUP(B202,archtypes!A:B,2,false)</f>
        <v>#N/A</v>
      </c>
      <c r="L202" s="8">
        <f t="shared" si="2"/>
        <v>0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"/>
      <c r="B203" s="1"/>
      <c r="C203" s="2"/>
      <c r="D203" s="1"/>
      <c r="E203" s="1"/>
      <c r="F203" s="7" t="str">
        <f>iferror(VLOOKUP(B203,projections!A:B,2,false), "NOT ACTIVE")</f>
        <v>NOT ACTIVE</v>
      </c>
      <c r="G203" s="8" t="str">
        <f t="shared" si="1"/>
        <v>NOT ACTIVE</v>
      </c>
      <c r="H203" s="6" t="str">
        <f>iferror(VLOOKUP(B203,usage!A:B,2,false), "NOT ACTIVE")</f>
        <v>NOT ACTIVE</v>
      </c>
      <c r="I203" s="6" t="str">
        <f t="array" ref="I203">INDEX(DvP!$B$2:$F$31,MATCH($E203,DvP!$A$2:$A$31,0),MATCH($A203,DvP!$B$1:$F$1,0))</f>
        <v>#N/A</v>
      </c>
      <c r="J203" s="8" t="str">
        <f t="array" ref="J203">INDEX(DvA!$B$2:$I$31,MATCH($E203,DvA!$A$2:$A$31,0),MATCH($K203,DvA!$B$1:$I$1,0))</f>
        <v>#N/A</v>
      </c>
      <c r="K203" s="8" t="str">
        <f>VLOOKUP(B203,archtypes!A:B,2,false)</f>
        <v>#N/A</v>
      </c>
      <c r="L203" s="8">
        <f t="shared" si="2"/>
        <v>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"/>
      <c r="B204" s="1"/>
      <c r="C204" s="2"/>
      <c r="D204" s="1"/>
      <c r="E204" s="1"/>
      <c r="F204" s="7" t="str">
        <f>iferror(VLOOKUP(B204,projections!A:B,2,false), "NOT ACTIVE")</f>
        <v>NOT ACTIVE</v>
      </c>
      <c r="G204" s="8" t="str">
        <f t="shared" si="1"/>
        <v>NOT ACTIVE</v>
      </c>
      <c r="H204" s="6" t="str">
        <f>iferror(VLOOKUP(B204,usage!A:B,2,false), "NOT ACTIVE")</f>
        <v>NOT ACTIVE</v>
      </c>
      <c r="I204" s="6" t="str">
        <f t="array" ref="I204">INDEX(DvP!$B$2:$F$31,MATCH($E204,DvP!$A$2:$A$31,0),MATCH($A204,DvP!$B$1:$F$1,0))</f>
        <v>#N/A</v>
      </c>
      <c r="J204" s="8" t="str">
        <f t="array" ref="J204">INDEX(DvA!$B$2:$I$31,MATCH($E204,DvA!$A$2:$A$31,0),MATCH($K204,DvA!$B$1:$I$1,0))</f>
        <v>#N/A</v>
      </c>
      <c r="K204" s="8" t="str">
        <f>VLOOKUP(B204,archtypes!A:B,2,false)</f>
        <v>#N/A</v>
      </c>
      <c r="L204" s="8">
        <f t="shared" si="2"/>
        <v>0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/>
      <c r="B205" s="1"/>
      <c r="C205" s="2"/>
      <c r="D205" s="1"/>
      <c r="E205" s="1"/>
      <c r="F205" s="7" t="str">
        <f>iferror(VLOOKUP(B205,projections!A:B,2,false), "NOT ACTIVE")</f>
        <v>NOT ACTIVE</v>
      </c>
      <c r="G205" s="8" t="str">
        <f t="shared" si="1"/>
        <v>NOT ACTIVE</v>
      </c>
      <c r="H205" s="6" t="str">
        <f>iferror(VLOOKUP(B205,usage!A:B,2,false), "NOT ACTIVE")</f>
        <v>NOT ACTIVE</v>
      </c>
      <c r="I205" s="6" t="str">
        <f t="array" ref="I205">INDEX(DvP!$B$2:$F$31,MATCH($E205,DvP!$A$2:$A$31,0),MATCH($A205,DvP!$B$1:$F$1,0))</f>
        <v>#N/A</v>
      </c>
      <c r="J205" s="8" t="str">
        <f t="array" ref="J205">INDEX(DvA!$B$2:$I$31,MATCH($E205,DvA!$A$2:$A$31,0),MATCH($K205,DvA!$B$1:$I$1,0))</f>
        <v>#N/A</v>
      </c>
      <c r="K205" s="8" t="str">
        <f>VLOOKUP(B205,archtypes!A:B,2,false)</f>
        <v>#N/A</v>
      </c>
      <c r="L205" s="8">
        <f t="shared" si="2"/>
        <v>0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"/>
      <c r="B206" s="1"/>
      <c r="C206" s="2"/>
      <c r="D206" s="1"/>
      <c r="E206" s="1"/>
      <c r="F206" s="7" t="str">
        <f>iferror(VLOOKUP(B206,projections!A:B,2,false), "NOT ACTIVE")</f>
        <v>NOT ACTIVE</v>
      </c>
      <c r="G206" s="8" t="str">
        <f t="shared" si="1"/>
        <v>NOT ACTIVE</v>
      </c>
      <c r="H206" s="6" t="str">
        <f>iferror(VLOOKUP(B206,usage!A:B,2,false), "NOT ACTIVE")</f>
        <v>NOT ACTIVE</v>
      </c>
      <c r="I206" s="6" t="str">
        <f t="array" ref="I206">INDEX(DvP!$B$2:$F$31,MATCH($E206,DvP!$A$2:$A$31,0),MATCH($A206,DvP!$B$1:$F$1,0))</f>
        <v>#N/A</v>
      </c>
      <c r="J206" s="8" t="str">
        <f t="array" ref="J206">INDEX(DvA!$B$2:$I$31,MATCH($E206,DvA!$A$2:$A$31,0),MATCH($K206,DvA!$B$1:$I$1,0))</f>
        <v>#N/A</v>
      </c>
      <c r="K206" s="8" t="str">
        <f>VLOOKUP(B206,archtypes!A:B,2,false)</f>
        <v>#N/A</v>
      </c>
      <c r="L206" s="8">
        <f t="shared" si="2"/>
        <v>0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/>
      <c r="B207" s="1"/>
      <c r="C207" s="2"/>
      <c r="D207" s="1"/>
      <c r="E207" s="1"/>
      <c r="F207" s="7" t="str">
        <f>iferror(VLOOKUP(B207,projections!A:B,2,false), "NOT ACTIVE")</f>
        <v>NOT ACTIVE</v>
      </c>
      <c r="G207" s="8" t="str">
        <f t="shared" si="1"/>
        <v>NOT ACTIVE</v>
      </c>
      <c r="H207" s="6" t="str">
        <f>iferror(VLOOKUP(B207,usage!A:B,2,false), "NOT ACTIVE")</f>
        <v>NOT ACTIVE</v>
      </c>
      <c r="I207" s="6" t="str">
        <f t="array" ref="I207">INDEX(DvP!$B$2:$F$31,MATCH($E207,DvP!$A$2:$A$31,0),MATCH($A207,DvP!$B$1:$F$1,0))</f>
        <v>#N/A</v>
      </c>
      <c r="J207" s="8" t="str">
        <f t="array" ref="J207">INDEX(DvA!$B$2:$I$31,MATCH($E207,DvA!$A$2:$A$31,0),MATCH($K207,DvA!$B$1:$I$1,0))</f>
        <v>#N/A</v>
      </c>
      <c r="K207" s="8" t="str">
        <f>VLOOKUP(B207,archtypes!A:B,2,false)</f>
        <v>#N/A</v>
      </c>
      <c r="L207" s="8">
        <f t="shared" si="2"/>
        <v>0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/>
      <c r="B208" s="1"/>
      <c r="C208" s="2"/>
      <c r="D208" s="1"/>
      <c r="E208" s="1"/>
      <c r="F208" s="7" t="str">
        <f>iferror(VLOOKUP(B208,projections!A:B,2,false), "NOT ACTIVE")</f>
        <v>NOT ACTIVE</v>
      </c>
      <c r="G208" s="8" t="str">
        <f t="shared" si="1"/>
        <v>NOT ACTIVE</v>
      </c>
      <c r="H208" s="6" t="str">
        <f>iferror(VLOOKUP(B208,usage!A:B,2,false), "NOT ACTIVE")</f>
        <v>NOT ACTIVE</v>
      </c>
      <c r="I208" s="6" t="str">
        <f t="array" ref="I208">INDEX(DvP!$B$2:$F$31,MATCH($E208,DvP!$A$2:$A$31,0),MATCH($A208,DvP!$B$1:$F$1,0))</f>
        <v>#N/A</v>
      </c>
      <c r="J208" s="8" t="str">
        <f t="array" ref="J208">INDEX(DvA!$B$2:$I$31,MATCH($E208,DvA!$A$2:$A$31,0),MATCH($K208,DvA!$B$1:$I$1,0))</f>
        <v>#N/A</v>
      </c>
      <c r="K208" s="8" t="str">
        <f>VLOOKUP(B208,archtypes!A:B,2,false)</f>
        <v>#N/A</v>
      </c>
      <c r="L208" s="8">
        <f t="shared" si="2"/>
        <v>0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"/>
      <c r="B209" s="1"/>
      <c r="C209" s="2"/>
      <c r="D209" s="1"/>
      <c r="E209" s="1"/>
      <c r="F209" s="7" t="str">
        <f>iferror(VLOOKUP(B209,projections!A:B,2,false), "NOT ACTIVE")</f>
        <v>NOT ACTIVE</v>
      </c>
      <c r="G209" s="8" t="str">
        <f t="shared" si="1"/>
        <v>NOT ACTIVE</v>
      </c>
      <c r="H209" s="6" t="str">
        <f>iferror(VLOOKUP(B209,usage!A:B,2,false), "NOT ACTIVE")</f>
        <v>NOT ACTIVE</v>
      </c>
      <c r="I209" s="6" t="str">
        <f t="array" ref="I209">INDEX(DvP!$B$2:$F$31,MATCH($E209,DvP!$A$2:$A$31,0),MATCH($A209,DvP!$B$1:$F$1,0))</f>
        <v>#N/A</v>
      </c>
      <c r="J209" s="8" t="str">
        <f t="array" ref="J209">INDEX(DvA!$B$2:$I$31,MATCH($E209,DvA!$A$2:$A$31,0),MATCH($K209,DvA!$B$1:$I$1,0))</f>
        <v>#N/A</v>
      </c>
      <c r="K209" s="8" t="str">
        <f>VLOOKUP(B209,archtypes!A:B,2,false)</f>
        <v>#N/A</v>
      </c>
      <c r="L209" s="8">
        <f t="shared" si="2"/>
        <v>0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/>
      <c r="B210" s="1"/>
      <c r="C210" s="2"/>
      <c r="D210" s="1"/>
      <c r="E210" s="1"/>
      <c r="F210" s="7" t="str">
        <f>iferror(VLOOKUP(B210,projections!A:B,2,false), "NOT ACTIVE")</f>
        <v>NOT ACTIVE</v>
      </c>
      <c r="G210" s="8" t="str">
        <f t="shared" si="1"/>
        <v>NOT ACTIVE</v>
      </c>
      <c r="H210" s="6" t="str">
        <f>iferror(VLOOKUP(B210,usage!A:B,2,false), "NOT ACTIVE")</f>
        <v>NOT ACTIVE</v>
      </c>
      <c r="I210" s="6" t="str">
        <f t="array" ref="I210">INDEX(DvP!$B$2:$F$31,MATCH($E210,DvP!$A$2:$A$31,0),MATCH($A210,DvP!$B$1:$F$1,0))</f>
        <v>#N/A</v>
      </c>
      <c r="J210" s="8" t="str">
        <f t="array" ref="J210">INDEX(DvA!$B$2:$I$31,MATCH($E210,DvA!$A$2:$A$31,0),MATCH($K210,DvA!$B$1:$I$1,0))</f>
        <v>#N/A</v>
      </c>
      <c r="K210" s="8" t="str">
        <f>VLOOKUP(B210,archtypes!A:B,2,false)</f>
        <v>#N/A</v>
      </c>
      <c r="L210" s="8">
        <f t="shared" si="2"/>
        <v>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/>
      <c r="B211" s="1"/>
      <c r="C211" s="2"/>
      <c r="D211" s="1"/>
      <c r="E211" s="1"/>
      <c r="F211" s="7" t="str">
        <f>iferror(VLOOKUP(B211,projections!A:B,2,false), "NOT ACTIVE")</f>
        <v>NOT ACTIVE</v>
      </c>
      <c r="G211" s="8" t="str">
        <f t="shared" si="1"/>
        <v>NOT ACTIVE</v>
      </c>
      <c r="H211" s="6" t="str">
        <f>iferror(VLOOKUP(B211,usage!A:B,2,false), "NOT ACTIVE")</f>
        <v>NOT ACTIVE</v>
      </c>
      <c r="I211" s="6" t="str">
        <f t="array" ref="I211">INDEX(DvP!$B$2:$F$31,MATCH($E211,DvP!$A$2:$A$31,0),MATCH($A211,DvP!$B$1:$F$1,0))</f>
        <v>#N/A</v>
      </c>
      <c r="J211" s="8" t="str">
        <f t="array" ref="J211">INDEX(DvA!$B$2:$I$31,MATCH($E211,DvA!$A$2:$A$31,0),MATCH($K211,DvA!$B$1:$I$1,0))</f>
        <v>#N/A</v>
      </c>
      <c r="K211" s="8" t="str">
        <f>VLOOKUP(B211,archtypes!A:B,2,false)</f>
        <v>#N/A</v>
      </c>
      <c r="L211" s="8">
        <f t="shared" si="2"/>
        <v>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"/>
      <c r="B212" s="1"/>
      <c r="C212" s="2"/>
      <c r="D212" s="1"/>
      <c r="E212" s="1"/>
      <c r="F212" s="7" t="str">
        <f>iferror(VLOOKUP(B212,projections!A:B,2,false), "NOT ACTIVE")</f>
        <v>NOT ACTIVE</v>
      </c>
      <c r="G212" s="8" t="str">
        <f t="shared" si="1"/>
        <v>NOT ACTIVE</v>
      </c>
      <c r="H212" s="6" t="str">
        <f>iferror(VLOOKUP(B212,usage!A:B,2,false), "NOT ACTIVE")</f>
        <v>NOT ACTIVE</v>
      </c>
      <c r="I212" s="6" t="str">
        <f t="array" ref="I212">INDEX(DvP!$B$2:$F$31,MATCH($E212,DvP!$A$2:$A$31,0),MATCH($A212,DvP!$B$1:$F$1,0))</f>
        <v>#N/A</v>
      </c>
      <c r="J212" s="8" t="str">
        <f t="array" ref="J212">INDEX(DvA!$B$2:$I$31,MATCH($E212,DvA!$A$2:$A$31,0),MATCH($K212,DvA!$B$1:$I$1,0))</f>
        <v>#N/A</v>
      </c>
      <c r="K212" s="8" t="str">
        <f>VLOOKUP(B212,archtypes!A:B,2,false)</f>
        <v>#N/A</v>
      </c>
      <c r="L212" s="8">
        <f t="shared" si="2"/>
        <v>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"/>
      <c r="B213" s="1"/>
      <c r="C213" s="2"/>
      <c r="D213" s="1"/>
      <c r="E213" s="1"/>
      <c r="F213" s="7" t="str">
        <f>iferror(VLOOKUP(B213,projections!A:B,2,false), "NOT ACTIVE")</f>
        <v>NOT ACTIVE</v>
      </c>
      <c r="G213" s="8" t="str">
        <f t="shared" si="1"/>
        <v>NOT ACTIVE</v>
      </c>
      <c r="H213" s="6" t="str">
        <f>iferror(VLOOKUP(B213,usage!A:B,2,false), "NOT ACTIVE")</f>
        <v>NOT ACTIVE</v>
      </c>
      <c r="I213" s="6" t="str">
        <f t="array" ref="I213">INDEX(DvP!$B$2:$F$31,MATCH($E213,DvP!$A$2:$A$31,0),MATCH($A213,DvP!$B$1:$F$1,0))</f>
        <v>#N/A</v>
      </c>
      <c r="J213" s="8" t="str">
        <f t="array" ref="J213">INDEX(DvA!$B$2:$I$31,MATCH($E213,DvA!$A$2:$A$31,0),MATCH($K213,DvA!$B$1:$I$1,0))</f>
        <v>#N/A</v>
      </c>
      <c r="K213" s="8" t="str">
        <f>VLOOKUP(B213,archtypes!A:B,2,false)</f>
        <v>#N/A</v>
      </c>
      <c r="L213" s="8">
        <f t="shared" si="2"/>
        <v>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"/>
      <c r="B214" s="1"/>
      <c r="C214" s="2"/>
      <c r="D214" s="1"/>
      <c r="E214" s="1"/>
      <c r="F214" s="7" t="str">
        <f>iferror(VLOOKUP(B214,projections!A:B,2,false), "NOT ACTIVE")</f>
        <v>NOT ACTIVE</v>
      </c>
      <c r="G214" s="8" t="str">
        <f t="shared" si="1"/>
        <v>NOT ACTIVE</v>
      </c>
      <c r="H214" s="6" t="str">
        <f>iferror(VLOOKUP(B214,usage!A:B,2,false), "NOT ACTIVE")</f>
        <v>NOT ACTIVE</v>
      </c>
      <c r="I214" s="6" t="str">
        <f t="array" ref="I214">INDEX(DvP!$B$2:$F$31,MATCH($E214,DvP!$A$2:$A$31,0),MATCH($A214,DvP!$B$1:$F$1,0))</f>
        <v>#N/A</v>
      </c>
      <c r="J214" s="8" t="str">
        <f t="array" ref="J214">INDEX(DvA!$B$2:$I$31,MATCH($E214,DvA!$A$2:$A$31,0),MATCH($K214,DvA!$B$1:$I$1,0))</f>
        <v>#N/A</v>
      </c>
      <c r="K214" s="8" t="str">
        <f>VLOOKUP(B214,archtypes!A:B,2,false)</f>
        <v>#N/A</v>
      </c>
      <c r="L214" s="8">
        <f t="shared" si="2"/>
        <v>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"/>
      <c r="B215" s="1"/>
      <c r="C215" s="2"/>
      <c r="D215" s="1"/>
      <c r="E215" s="1"/>
      <c r="F215" s="7" t="str">
        <f>iferror(VLOOKUP(B215,projections!A:B,2,false), "NOT ACTIVE")</f>
        <v>NOT ACTIVE</v>
      </c>
      <c r="G215" s="8" t="str">
        <f t="shared" si="1"/>
        <v>NOT ACTIVE</v>
      </c>
      <c r="H215" s="6" t="str">
        <f>iferror(VLOOKUP(B215,usage!A:B,2,false), "NOT ACTIVE")</f>
        <v>NOT ACTIVE</v>
      </c>
      <c r="I215" s="6" t="str">
        <f t="array" ref="I215">INDEX(DvP!$B$2:$F$31,MATCH($E215,DvP!$A$2:$A$31,0),MATCH($A215,DvP!$B$1:$F$1,0))</f>
        <v>#N/A</v>
      </c>
      <c r="J215" s="8" t="str">
        <f t="array" ref="J215">INDEX(DvA!$B$2:$I$31,MATCH($E215,DvA!$A$2:$A$31,0),MATCH($K215,DvA!$B$1:$I$1,0))</f>
        <v>#N/A</v>
      </c>
      <c r="K215" s="8" t="str">
        <f>VLOOKUP(B215,archtypes!A:B,2,false)</f>
        <v>#N/A</v>
      </c>
      <c r="L215" s="8">
        <f t="shared" si="2"/>
        <v>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"/>
      <c r="B216" s="1"/>
      <c r="C216" s="2"/>
      <c r="D216" s="1"/>
      <c r="E216" s="1"/>
      <c r="F216" s="7" t="str">
        <f>iferror(VLOOKUP(B216,projections!A:B,2,false), "NOT ACTIVE")</f>
        <v>NOT ACTIVE</v>
      </c>
      <c r="G216" s="8" t="str">
        <f t="shared" si="1"/>
        <v>NOT ACTIVE</v>
      </c>
      <c r="H216" s="6" t="str">
        <f>iferror(VLOOKUP(B216,usage!A:B,2,false), "NOT ACTIVE")</f>
        <v>NOT ACTIVE</v>
      </c>
      <c r="I216" s="6" t="str">
        <f t="array" ref="I216">INDEX(DvP!$B$2:$F$31,MATCH($E216,DvP!$A$2:$A$31,0),MATCH($A216,DvP!$B$1:$F$1,0))</f>
        <v>#N/A</v>
      </c>
      <c r="J216" s="8" t="str">
        <f t="array" ref="J216">INDEX(DvA!$B$2:$I$31,MATCH($E216,DvA!$A$2:$A$31,0),MATCH($K216,DvA!$B$1:$I$1,0))</f>
        <v>#N/A</v>
      </c>
      <c r="K216" s="8" t="str">
        <f>VLOOKUP(B216,archtypes!A:B,2,false)</f>
        <v>#N/A</v>
      </c>
      <c r="L216" s="8">
        <f t="shared" si="2"/>
        <v>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"/>
      <c r="B217" s="1"/>
      <c r="C217" s="2"/>
      <c r="D217" s="1"/>
      <c r="E217" s="1"/>
      <c r="F217" s="7" t="str">
        <f>iferror(VLOOKUP(B217,projections!A:B,2,false), "NOT ACTIVE")</f>
        <v>NOT ACTIVE</v>
      </c>
      <c r="G217" s="8" t="str">
        <f t="shared" si="1"/>
        <v>NOT ACTIVE</v>
      </c>
      <c r="H217" s="6" t="str">
        <f>iferror(VLOOKUP(B217,usage!A:B,2,false), "NOT ACTIVE")</f>
        <v>NOT ACTIVE</v>
      </c>
      <c r="I217" s="6" t="str">
        <f t="array" ref="I217">INDEX(DvP!$B$2:$F$31,MATCH($E217,DvP!$A$2:$A$31,0),MATCH($A217,DvP!$B$1:$F$1,0))</f>
        <v>#N/A</v>
      </c>
      <c r="J217" s="8" t="str">
        <f t="array" ref="J217">INDEX(DvA!$B$2:$I$31,MATCH($E217,DvA!$A$2:$A$31,0),MATCH($K217,DvA!$B$1:$I$1,0))</f>
        <v>#N/A</v>
      </c>
      <c r="K217" s="8" t="str">
        <f>VLOOKUP(B217,archtypes!A:B,2,false)</f>
        <v>#N/A</v>
      </c>
      <c r="L217" s="8">
        <f t="shared" si="2"/>
        <v>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/>
      <c r="B218" s="1"/>
      <c r="C218" s="2"/>
      <c r="D218" s="1"/>
      <c r="E218" s="1"/>
      <c r="F218" s="7" t="str">
        <f>iferror(VLOOKUP(B218,projections!A:B,2,false), "NOT ACTIVE")</f>
        <v>NOT ACTIVE</v>
      </c>
      <c r="G218" s="8" t="str">
        <f t="shared" si="1"/>
        <v>NOT ACTIVE</v>
      </c>
      <c r="H218" s="6" t="str">
        <f>iferror(VLOOKUP(B218,usage!A:B,2,false), "NOT ACTIVE")</f>
        <v>NOT ACTIVE</v>
      </c>
      <c r="I218" s="6" t="str">
        <f t="array" ref="I218">INDEX(DvP!$B$2:$F$31,MATCH($E218,DvP!$A$2:$A$31,0),MATCH($A218,DvP!$B$1:$F$1,0))</f>
        <v>#N/A</v>
      </c>
      <c r="J218" s="8" t="str">
        <f t="array" ref="J218">INDEX(DvA!$B$2:$I$31,MATCH($E218,DvA!$A$2:$A$31,0),MATCH($K218,DvA!$B$1:$I$1,0))</f>
        <v>#N/A</v>
      </c>
      <c r="K218" s="8" t="str">
        <f>VLOOKUP(B218,archtypes!A:B,2,false)</f>
        <v>#N/A</v>
      </c>
      <c r="L218" s="8">
        <f t="shared" si="2"/>
        <v>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"/>
      <c r="B219" s="1"/>
      <c r="C219" s="2"/>
      <c r="D219" s="1"/>
      <c r="E219" s="1"/>
      <c r="F219" s="7" t="str">
        <f>iferror(VLOOKUP(B219,projections!A:B,2,false), "NOT ACTIVE")</f>
        <v>NOT ACTIVE</v>
      </c>
      <c r="G219" s="8" t="str">
        <f t="shared" si="1"/>
        <v>NOT ACTIVE</v>
      </c>
      <c r="H219" s="6" t="str">
        <f>iferror(VLOOKUP(B219,usage!A:B,2,false), "NOT ACTIVE")</f>
        <v>NOT ACTIVE</v>
      </c>
      <c r="I219" s="6" t="str">
        <f t="array" ref="I219">INDEX(DvP!$B$2:$F$31,MATCH($E219,DvP!$A$2:$A$31,0),MATCH($A219,DvP!$B$1:$F$1,0))</f>
        <v>#N/A</v>
      </c>
      <c r="J219" s="8" t="str">
        <f t="array" ref="J219">INDEX(DvA!$B$2:$I$31,MATCH($E219,DvA!$A$2:$A$31,0),MATCH($K219,DvA!$B$1:$I$1,0))</f>
        <v>#N/A</v>
      </c>
      <c r="K219" s="8" t="str">
        <f>VLOOKUP(B219,archtypes!A:B,2,false)</f>
        <v>#N/A</v>
      </c>
      <c r="L219" s="8">
        <f t="shared" si="2"/>
        <v>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/>
      <c r="B220" s="1"/>
      <c r="C220" s="2"/>
      <c r="D220" s="1"/>
      <c r="E220" s="1"/>
      <c r="F220" s="7" t="str">
        <f>iferror(VLOOKUP(B220,projections!A:B,2,false), "NOT ACTIVE")</f>
        <v>NOT ACTIVE</v>
      </c>
      <c r="G220" s="8" t="str">
        <f t="shared" si="1"/>
        <v>NOT ACTIVE</v>
      </c>
      <c r="H220" s="6" t="str">
        <f>iferror(VLOOKUP(B220,usage!A:B,2,false), "NOT ACTIVE")</f>
        <v>NOT ACTIVE</v>
      </c>
      <c r="I220" s="6" t="str">
        <f t="array" ref="I220">INDEX(DvP!$B$2:$F$31,MATCH($E220,DvP!$A$2:$A$31,0),MATCH($A220,DvP!$B$1:$F$1,0))</f>
        <v>#N/A</v>
      </c>
      <c r="J220" s="8" t="str">
        <f t="array" ref="J220">INDEX(DvA!$B$2:$I$31,MATCH($E220,DvA!$A$2:$A$31,0),MATCH($K220,DvA!$B$1:$I$1,0))</f>
        <v>#N/A</v>
      </c>
      <c r="K220" s="8" t="str">
        <f>VLOOKUP(B220,archtypes!A:B,2,false)</f>
        <v>#N/A</v>
      </c>
      <c r="L220" s="8">
        <f t="shared" si="2"/>
        <v>0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"/>
      <c r="B221" s="1"/>
      <c r="C221" s="2"/>
      <c r="D221" s="1"/>
      <c r="E221" s="1"/>
      <c r="F221" s="7" t="str">
        <f>iferror(VLOOKUP(B221,projections!A:B,2,false), "NOT ACTIVE")</f>
        <v>NOT ACTIVE</v>
      </c>
      <c r="G221" s="8" t="str">
        <f t="shared" si="1"/>
        <v>NOT ACTIVE</v>
      </c>
      <c r="H221" s="6" t="str">
        <f>iferror(VLOOKUP(B221,usage!A:B,2,false), "NOT ACTIVE")</f>
        <v>NOT ACTIVE</v>
      </c>
      <c r="I221" s="6" t="str">
        <f t="array" ref="I221">INDEX(DvP!$B$2:$F$31,MATCH($E221,DvP!$A$2:$A$31,0),MATCH($A221,DvP!$B$1:$F$1,0))</f>
        <v>#N/A</v>
      </c>
      <c r="J221" s="8" t="str">
        <f t="array" ref="J221">INDEX(DvA!$B$2:$I$31,MATCH($E221,DvA!$A$2:$A$31,0),MATCH($K221,DvA!$B$1:$I$1,0))</f>
        <v>#N/A</v>
      </c>
      <c r="K221" s="8" t="str">
        <f>VLOOKUP(B221,archtypes!A:B,2,false)</f>
        <v>#N/A</v>
      </c>
      <c r="L221" s="8">
        <f t="shared" si="2"/>
        <v>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"/>
      <c r="B222" s="1"/>
      <c r="C222" s="2"/>
      <c r="D222" s="1"/>
      <c r="E222" s="1"/>
      <c r="F222" s="7" t="str">
        <f>iferror(VLOOKUP(B222,projections!A:B,2,false), "NOT ACTIVE")</f>
        <v>NOT ACTIVE</v>
      </c>
      <c r="G222" s="8" t="str">
        <f t="shared" si="1"/>
        <v>NOT ACTIVE</v>
      </c>
      <c r="H222" s="6" t="str">
        <f>iferror(VLOOKUP(B222,usage!A:B,2,false), "NOT ACTIVE")</f>
        <v>NOT ACTIVE</v>
      </c>
      <c r="I222" s="6" t="str">
        <f t="array" ref="I222">INDEX(DvP!$B$2:$F$31,MATCH($E222,DvP!$A$2:$A$31,0),MATCH($A222,DvP!$B$1:$F$1,0))</f>
        <v>#N/A</v>
      </c>
      <c r="J222" s="8" t="str">
        <f t="array" ref="J222">INDEX(DvA!$B$2:$I$31,MATCH($E222,DvA!$A$2:$A$31,0),MATCH($K222,DvA!$B$1:$I$1,0))</f>
        <v>#N/A</v>
      </c>
      <c r="K222" s="8" t="str">
        <f>VLOOKUP(B222,archtypes!A:B,2,false)</f>
        <v>#N/A</v>
      </c>
      <c r="L222" s="8">
        <f t="shared" si="2"/>
        <v>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"/>
      <c r="B223" s="1"/>
      <c r="C223" s="2"/>
      <c r="D223" s="1"/>
      <c r="E223" s="1"/>
      <c r="F223" s="7" t="str">
        <f>iferror(VLOOKUP(B223,projections!A:B,2,false), "NOT ACTIVE")</f>
        <v>NOT ACTIVE</v>
      </c>
      <c r="G223" s="8" t="str">
        <f t="shared" si="1"/>
        <v>NOT ACTIVE</v>
      </c>
      <c r="H223" s="6" t="str">
        <f>iferror(VLOOKUP(B223,usage!A:B,2,false), "NOT ACTIVE")</f>
        <v>NOT ACTIVE</v>
      </c>
      <c r="I223" s="6" t="str">
        <f t="array" ref="I223">INDEX(DvP!$B$2:$F$31,MATCH($E223,DvP!$A$2:$A$31,0),MATCH($A223,DvP!$B$1:$F$1,0))</f>
        <v>#N/A</v>
      </c>
      <c r="J223" s="8" t="str">
        <f t="array" ref="J223">INDEX(DvA!$B$2:$I$31,MATCH($E223,DvA!$A$2:$A$31,0),MATCH($K223,DvA!$B$1:$I$1,0))</f>
        <v>#N/A</v>
      </c>
      <c r="K223" s="8" t="str">
        <f>VLOOKUP(B223,archtypes!A:B,2,false)</f>
        <v>#N/A</v>
      </c>
      <c r="L223" s="8">
        <f t="shared" si="2"/>
        <v>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"/>
      <c r="B224" s="1"/>
      <c r="C224" s="2"/>
      <c r="D224" s="1"/>
      <c r="E224" s="1"/>
      <c r="F224" s="7" t="str">
        <f>iferror(VLOOKUP(B224,projections!A:B,2,false), "NOT ACTIVE")</f>
        <v>NOT ACTIVE</v>
      </c>
      <c r="G224" s="8" t="str">
        <f t="shared" si="1"/>
        <v>NOT ACTIVE</v>
      </c>
      <c r="H224" s="6" t="str">
        <f>iferror(VLOOKUP(B224,usage!A:B,2,false), "NOT ACTIVE")</f>
        <v>NOT ACTIVE</v>
      </c>
      <c r="I224" s="6" t="str">
        <f t="array" ref="I224">INDEX(DvP!$B$2:$F$31,MATCH($E224,DvP!$A$2:$A$31,0),MATCH($A224,DvP!$B$1:$F$1,0))</f>
        <v>#N/A</v>
      </c>
      <c r="J224" s="8" t="str">
        <f t="array" ref="J224">INDEX(DvA!$B$2:$I$31,MATCH($E224,DvA!$A$2:$A$31,0),MATCH($K224,DvA!$B$1:$I$1,0))</f>
        <v>#N/A</v>
      </c>
      <c r="K224" s="8" t="str">
        <f>VLOOKUP(B224,archtypes!A:B,2,false)</f>
        <v>#N/A</v>
      </c>
      <c r="L224" s="8">
        <f t="shared" si="2"/>
        <v>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"/>
      <c r="B225" s="1"/>
      <c r="C225" s="2"/>
      <c r="D225" s="1"/>
      <c r="E225" s="1"/>
      <c r="F225" s="7" t="str">
        <f>iferror(VLOOKUP(B225,projections!A:B,2,false), "NOT ACTIVE")</f>
        <v>NOT ACTIVE</v>
      </c>
      <c r="G225" s="8" t="str">
        <f t="shared" si="1"/>
        <v>NOT ACTIVE</v>
      </c>
      <c r="H225" s="6" t="str">
        <f>iferror(VLOOKUP(B225,usage!A:B,2,false), "NOT ACTIVE")</f>
        <v>NOT ACTIVE</v>
      </c>
      <c r="I225" s="6" t="str">
        <f t="array" ref="I225">INDEX(DvP!$B$2:$F$31,MATCH($E225,DvP!$A$2:$A$31,0),MATCH($A225,DvP!$B$1:$F$1,0))</f>
        <v>#N/A</v>
      </c>
      <c r="J225" s="8" t="str">
        <f t="array" ref="J225">INDEX(DvA!$B$2:$I$31,MATCH($E225,DvA!$A$2:$A$31,0),MATCH($K225,DvA!$B$1:$I$1,0))</f>
        <v>#N/A</v>
      </c>
      <c r="K225" s="8" t="str">
        <f>VLOOKUP(B225,archtypes!A:B,2,false)</f>
        <v>#N/A</v>
      </c>
      <c r="L225" s="8">
        <f t="shared" si="2"/>
        <v>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"/>
      <c r="B226" s="1"/>
      <c r="C226" s="2"/>
      <c r="D226" s="1"/>
      <c r="E226" s="1"/>
      <c r="F226" s="7" t="str">
        <f>iferror(VLOOKUP(B226,projections!A:B,2,false), "NOT ACTIVE")</f>
        <v>NOT ACTIVE</v>
      </c>
      <c r="G226" s="8" t="str">
        <f t="shared" si="1"/>
        <v>NOT ACTIVE</v>
      </c>
      <c r="H226" s="6" t="str">
        <f>iferror(VLOOKUP(B226,usage!A:B,2,false), "NOT ACTIVE")</f>
        <v>NOT ACTIVE</v>
      </c>
      <c r="I226" s="6" t="str">
        <f t="array" ref="I226">INDEX(DvP!$B$2:$F$31,MATCH($E226,DvP!$A$2:$A$31,0),MATCH($A226,DvP!$B$1:$F$1,0))</f>
        <v>#N/A</v>
      </c>
      <c r="J226" s="8" t="str">
        <f t="array" ref="J226">INDEX(DvA!$B$2:$I$31,MATCH($E226,DvA!$A$2:$A$31,0),MATCH($K226,DvA!$B$1:$I$1,0))</f>
        <v>#N/A</v>
      </c>
      <c r="K226" s="8" t="str">
        <f>VLOOKUP(B226,archtypes!A:B,2,false)</f>
        <v>#N/A</v>
      </c>
      <c r="L226" s="8">
        <f t="shared" si="2"/>
        <v>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"/>
      <c r="B227" s="1"/>
      <c r="C227" s="2"/>
      <c r="D227" s="1"/>
      <c r="E227" s="1"/>
      <c r="F227" s="7" t="str">
        <f>iferror(VLOOKUP(B227,projections!A:B,2,false), "NOT ACTIVE")</f>
        <v>NOT ACTIVE</v>
      </c>
      <c r="G227" s="8" t="str">
        <f t="shared" si="1"/>
        <v>NOT ACTIVE</v>
      </c>
      <c r="H227" s="6" t="str">
        <f>iferror(VLOOKUP(B227,usage!A:B,2,false), "NOT ACTIVE")</f>
        <v>NOT ACTIVE</v>
      </c>
      <c r="I227" s="6" t="str">
        <f t="array" ref="I227">INDEX(DvP!$B$2:$F$31,MATCH($E227,DvP!$A$2:$A$31,0),MATCH($A227,DvP!$B$1:$F$1,0))</f>
        <v>#N/A</v>
      </c>
      <c r="J227" s="8" t="str">
        <f t="array" ref="J227">INDEX(DvA!$B$2:$I$31,MATCH($E227,DvA!$A$2:$A$31,0),MATCH($K227,DvA!$B$1:$I$1,0))</f>
        <v>#N/A</v>
      </c>
      <c r="K227" s="8" t="str">
        <f>VLOOKUP(B227,archtypes!A:B,2,false)</f>
        <v>#N/A</v>
      </c>
      <c r="L227" s="8">
        <f t="shared" si="2"/>
        <v>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"/>
      <c r="B228" s="1"/>
      <c r="C228" s="2"/>
      <c r="D228" s="1"/>
      <c r="E228" s="1"/>
      <c r="F228" s="7" t="str">
        <f>iferror(VLOOKUP(B228,projections!A:B,2,false), "NOT ACTIVE")</f>
        <v>NOT ACTIVE</v>
      </c>
      <c r="G228" s="8" t="str">
        <f t="shared" si="1"/>
        <v>NOT ACTIVE</v>
      </c>
      <c r="H228" s="6" t="str">
        <f>iferror(VLOOKUP(B228,usage!A:B,2,false), "NOT ACTIVE")</f>
        <v>NOT ACTIVE</v>
      </c>
      <c r="I228" s="6" t="str">
        <f t="array" ref="I228">INDEX(DvP!$B$2:$F$31,MATCH($E228,DvP!$A$2:$A$31,0),MATCH($A228,DvP!$B$1:$F$1,0))</f>
        <v>#N/A</v>
      </c>
      <c r="J228" s="8" t="str">
        <f t="array" ref="J228">INDEX(DvA!$B$2:$I$31,MATCH($E228,DvA!$A$2:$A$31,0),MATCH($K228,DvA!$B$1:$I$1,0))</f>
        <v>#N/A</v>
      </c>
      <c r="K228" s="8" t="str">
        <f>VLOOKUP(B228,archtypes!A:B,2,false)</f>
        <v>#N/A</v>
      </c>
      <c r="L228" s="8">
        <f t="shared" si="2"/>
        <v>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"/>
      <c r="B229" s="1"/>
      <c r="C229" s="2"/>
      <c r="D229" s="1"/>
      <c r="E229" s="1"/>
      <c r="F229" s="7" t="str">
        <f>iferror(VLOOKUP(B229,projections!A:B,2,false), "NOT ACTIVE")</f>
        <v>NOT ACTIVE</v>
      </c>
      <c r="G229" s="8" t="str">
        <f t="shared" si="1"/>
        <v>NOT ACTIVE</v>
      </c>
      <c r="H229" s="6" t="str">
        <f>iferror(VLOOKUP(B229,usage!A:B,2,false), "NOT ACTIVE")</f>
        <v>NOT ACTIVE</v>
      </c>
      <c r="I229" s="6" t="str">
        <f t="array" ref="I229">INDEX(DvP!$B$2:$F$31,MATCH($E229,DvP!$A$2:$A$31,0),MATCH($A229,DvP!$B$1:$F$1,0))</f>
        <v>#N/A</v>
      </c>
      <c r="J229" s="8" t="str">
        <f t="array" ref="J229">INDEX(DvA!$B$2:$I$31,MATCH($E229,DvA!$A$2:$A$31,0),MATCH($K229,DvA!$B$1:$I$1,0))</f>
        <v>#N/A</v>
      </c>
      <c r="K229" s="8" t="str">
        <f>VLOOKUP(B229,archtypes!A:B,2,false)</f>
        <v>#N/A</v>
      </c>
      <c r="L229" s="8">
        <f t="shared" si="2"/>
        <v>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"/>
      <c r="B230" s="1"/>
      <c r="C230" s="2"/>
      <c r="D230" s="1"/>
      <c r="E230" s="1"/>
      <c r="F230" s="7" t="str">
        <f>iferror(VLOOKUP(B230,projections!A:B,2,false), "NOT ACTIVE")</f>
        <v>NOT ACTIVE</v>
      </c>
      <c r="G230" s="8" t="str">
        <f t="shared" si="1"/>
        <v>NOT ACTIVE</v>
      </c>
      <c r="H230" s="6" t="str">
        <f>iferror(VLOOKUP(B230,usage!A:B,2,false), "NOT ACTIVE")</f>
        <v>NOT ACTIVE</v>
      </c>
      <c r="I230" s="6" t="str">
        <f t="array" ref="I230">INDEX(DvP!$B$2:$F$31,MATCH($E230,DvP!$A$2:$A$31,0),MATCH($A230,DvP!$B$1:$F$1,0))</f>
        <v>#N/A</v>
      </c>
      <c r="J230" s="8" t="str">
        <f t="array" ref="J230">INDEX(DvA!$B$2:$I$31,MATCH($E230,DvA!$A$2:$A$31,0),MATCH($K230,DvA!$B$1:$I$1,0))</f>
        <v>#N/A</v>
      </c>
      <c r="K230" s="8" t="str">
        <f>VLOOKUP(B230,archtypes!A:B,2,false)</f>
        <v>#N/A</v>
      </c>
      <c r="L230" s="8">
        <f t="shared" si="2"/>
        <v>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"/>
      <c r="B231" s="1"/>
      <c r="C231" s="2"/>
      <c r="D231" s="1"/>
      <c r="E231" s="1"/>
      <c r="F231" s="7" t="str">
        <f>iferror(VLOOKUP(B231,projections!A:B,2,false), "NOT ACTIVE")</f>
        <v>NOT ACTIVE</v>
      </c>
      <c r="G231" s="8" t="str">
        <f t="shared" si="1"/>
        <v>NOT ACTIVE</v>
      </c>
      <c r="H231" s="6" t="str">
        <f>iferror(VLOOKUP(B231,usage!A:B,2,false), "NOT ACTIVE")</f>
        <v>NOT ACTIVE</v>
      </c>
      <c r="I231" s="6" t="str">
        <f t="array" ref="I231">INDEX(DvP!$B$2:$F$31,MATCH($E231,DvP!$A$2:$A$31,0),MATCH($A231,DvP!$B$1:$F$1,0))</f>
        <v>#N/A</v>
      </c>
      <c r="J231" s="8" t="str">
        <f t="array" ref="J231">INDEX(DvA!$B$2:$I$31,MATCH($E231,DvA!$A$2:$A$31,0),MATCH($K231,DvA!$B$1:$I$1,0))</f>
        <v>#N/A</v>
      </c>
      <c r="K231" s="8" t="str">
        <f>VLOOKUP(B231,archtypes!A:B,2,false)</f>
        <v>#N/A</v>
      </c>
      <c r="L231" s="8">
        <f t="shared" si="2"/>
        <v>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"/>
      <c r="B232" s="1"/>
      <c r="C232" s="2"/>
      <c r="D232" s="1"/>
      <c r="E232" s="1"/>
      <c r="F232" s="7" t="str">
        <f>iferror(VLOOKUP(B232,projections!A:B,2,false), "NOT ACTIVE")</f>
        <v>NOT ACTIVE</v>
      </c>
      <c r="G232" s="8" t="str">
        <f t="shared" si="1"/>
        <v>NOT ACTIVE</v>
      </c>
      <c r="H232" s="6" t="str">
        <f>iferror(VLOOKUP(B232,usage!A:B,2,false), "NOT ACTIVE")</f>
        <v>NOT ACTIVE</v>
      </c>
      <c r="I232" s="6" t="str">
        <f t="array" ref="I232">INDEX(DvP!$B$2:$F$31,MATCH($E232,DvP!$A$2:$A$31,0),MATCH($A232,DvP!$B$1:$F$1,0))</f>
        <v>#N/A</v>
      </c>
      <c r="J232" s="8" t="str">
        <f t="array" ref="J232">INDEX(DvA!$B$2:$I$31,MATCH($E232,DvA!$A$2:$A$31,0),MATCH($K232,DvA!$B$1:$I$1,0))</f>
        <v>#N/A</v>
      </c>
      <c r="K232" s="8" t="str">
        <f>VLOOKUP(B232,archtypes!A:B,2,false)</f>
        <v>#N/A</v>
      </c>
      <c r="L232" s="8">
        <f t="shared" si="2"/>
        <v>0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"/>
      <c r="B233" s="1"/>
      <c r="C233" s="2"/>
      <c r="D233" s="1"/>
      <c r="E233" s="1"/>
      <c r="F233" s="7" t="str">
        <f>iferror(VLOOKUP(B233,projections!A:B,2,false), "NOT ACTIVE")</f>
        <v>NOT ACTIVE</v>
      </c>
      <c r="G233" s="8" t="str">
        <f t="shared" si="1"/>
        <v>NOT ACTIVE</v>
      </c>
      <c r="H233" s="6" t="str">
        <f>iferror(VLOOKUP(B233,usage!A:B,2,false), "NOT ACTIVE")</f>
        <v>NOT ACTIVE</v>
      </c>
      <c r="I233" s="6" t="str">
        <f t="array" ref="I233">INDEX(DvP!$B$2:$F$31,MATCH($E233,DvP!$A$2:$A$31,0),MATCH($A233,DvP!$B$1:$F$1,0))</f>
        <v>#N/A</v>
      </c>
      <c r="J233" s="8" t="str">
        <f t="array" ref="J233">INDEX(DvA!$B$2:$I$31,MATCH($E233,DvA!$A$2:$A$31,0),MATCH($K233,DvA!$B$1:$I$1,0))</f>
        <v>#N/A</v>
      </c>
      <c r="K233" s="8" t="str">
        <f>VLOOKUP(B233,archtypes!A:B,2,false)</f>
        <v>#N/A</v>
      </c>
      <c r="L233" s="8">
        <f t="shared" si="2"/>
        <v>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"/>
      <c r="B234" s="1"/>
      <c r="C234" s="2"/>
      <c r="D234" s="1"/>
      <c r="E234" s="1"/>
      <c r="F234" s="7" t="str">
        <f>iferror(VLOOKUP(B234,projections!A:B,2,false), "NOT ACTIVE")</f>
        <v>NOT ACTIVE</v>
      </c>
      <c r="G234" s="8" t="str">
        <f t="shared" si="1"/>
        <v>NOT ACTIVE</v>
      </c>
      <c r="H234" s="6" t="str">
        <f>iferror(VLOOKUP(B234,usage!A:B,2,false), "NOT ACTIVE")</f>
        <v>NOT ACTIVE</v>
      </c>
      <c r="I234" s="6" t="str">
        <f t="array" ref="I234">INDEX(DvP!$B$2:$F$31,MATCH($E234,DvP!$A$2:$A$31,0),MATCH($A234,DvP!$B$1:$F$1,0))</f>
        <v>#N/A</v>
      </c>
      <c r="J234" s="8" t="str">
        <f t="array" ref="J234">INDEX(DvA!$B$2:$I$31,MATCH($E234,DvA!$A$2:$A$31,0),MATCH($K234,DvA!$B$1:$I$1,0))</f>
        <v>#N/A</v>
      </c>
      <c r="K234" s="8" t="str">
        <f>VLOOKUP(B234,archtypes!A:B,2,false)</f>
        <v>#N/A</v>
      </c>
      <c r="L234" s="8">
        <f t="shared" si="2"/>
        <v>0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"/>
      <c r="B235" s="1"/>
      <c r="C235" s="2"/>
      <c r="D235" s="1"/>
      <c r="E235" s="1"/>
      <c r="F235" s="7" t="str">
        <f>iferror(VLOOKUP(B235,projections!A:B,2,false), "NOT ACTIVE")</f>
        <v>NOT ACTIVE</v>
      </c>
      <c r="G235" s="8" t="str">
        <f t="shared" si="1"/>
        <v>NOT ACTIVE</v>
      </c>
      <c r="H235" s="6" t="str">
        <f>iferror(VLOOKUP(B235,usage!A:B,2,false), "NOT ACTIVE")</f>
        <v>NOT ACTIVE</v>
      </c>
      <c r="I235" s="6" t="str">
        <f t="array" ref="I235">INDEX(DvP!$B$2:$F$31,MATCH($E235,DvP!$A$2:$A$31,0),MATCH($A235,DvP!$B$1:$F$1,0))</f>
        <v>#N/A</v>
      </c>
      <c r="J235" s="8" t="str">
        <f t="array" ref="J235">INDEX(DvA!$B$2:$I$31,MATCH($E235,DvA!$A$2:$A$31,0),MATCH($K235,DvA!$B$1:$I$1,0))</f>
        <v>#N/A</v>
      </c>
      <c r="K235" s="8" t="str">
        <f>VLOOKUP(B235,archtypes!A:B,2,false)</f>
        <v>#N/A</v>
      </c>
      <c r="L235" s="8">
        <f t="shared" si="2"/>
        <v>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"/>
      <c r="B236" s="1"/>
      <c r="C236" s="2"/>
      <c r="D236" s="1"/>
      <c r="E236" s="1"/>
      <c r="F236" s="7" t="str">
        <f>iferror(VLOOKUP(B236,projections!A:B,2,false), "NOT ACTIVE")</f>
        <v>NOT ACTIVE</v>
      </c>
      <c r="G236" s="8" t="str">
        <f t="shared" si="1"/>
        <v>NOT ACTIVE</v>
      </c>
      <c r="H236" s="6" t="str">
        <f>iferror(VLOOKUP(B236,usage!A:B,2,false), "NOT ACTIVE")</f>
        <v>NOT ACTIVE</v>
      </c>
      <c r="I236" s="6" t="str">
        <f t="array" ref="I236">INDEX(DvP!$B$2:$F$31,MATCH($E236,DvP!$A$2:$A$31,0),MATCH($A236,DvP!$B$1:$F$1,0))</f>
        <v>#N/A</v>
      </c>
      <c r="J236" s="8" t="str">
        <f t="array" ref="J236">INDEX(DvA!$B$2:$I$31,MATCH($E236,DvA!$A$2:$A$31,0),MATCH($K236,DvA!$B$1:$I$1,0))</f>
        <v>#N/A</v>
      </c>
      <c r="K236" s="8" t="str">
        <f>VLOOKUP(B236,archtypes!A:B,2,false)</f>
        <v>#N/A</v>
      </c>
      <c r="L236" s="8">
        <f t="shared" si="2"/>
        <v>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"/>
      <c r="B237" s="1"/>
      <c r="C237" s="2"/>
      <c r="D237" s="1"/>
      <c r="E237" s="1"/>
      <c r="F237" s="7" t="str">
        <f>iferror(VLOOKUP(B237,projections!A:B,2,false), "NOT ACTIVE")</f>
        <v>NOT ACTIVE</v>
      </c>
      <c r="G237" s="8" t="str">
        <f t="shared" si="1"/>
        <v>NOT ACTIVE</v>
      </c>
      <c r="H237" s="6" t="str">
        <f>iferror(VLOOKUP(B237,usage!A:B,2,false), "NOT ACTIVE")</f>
        <v>NOT ACTIVE</v>
      </c>
      <c r="I237" s="6" t="str">
        <f t="array" ref="I237">INDEX(DvP!$B$2:$F$31,MATCH($E237,DvP!$A$2:$A$31,0),MATCH($A237,DvP!$B$1:$F$1,0))</f>
        <v>#N/A</v>
      </c>
      <c r="J237" s="8" t="str">
        <f t="array" ref="J237">INDEX(DvA!$B$2:$I$31,MATCH($E237,DvA!$A$2:$A$31,0),MATCH($K237,DvA!$B$1:$I$1,0))</f>
        <v>#N/A</v>
      </c>
      <c r="K237" s="8" t="str">
        <f>VLOOKUP(B237,archtypes!A:B,2,false)</f>
        <v>#N/A</v>
      </c>
      <c r="L237" s="8">
        <f t="shared" si="2"/>
        <v>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/>
      <c r="B238" s="1"/>
      <c r="C238" s="2"/>
      <c r="D238" s="1"/>
      <c r="E238" s="1"/>
      <c r="F238" s="7" t="str">
        <f>iferror(VLOOKUP(B238,projections!A:B,2,false), "NOT ACTIVE")</f>
        <v>NOT ACTIVE</v>
      </c>
      <c r="G238" s="8" t="str">
        <f t="shared" si="1"/>
        <v>NOT ACTIVE</v>
      </c>
      <c r="H238" s="6" t="str">
        <f>iferror(VLOOKUP(B238,usage!A:B,2,false), "NOT ACTIVE")</f>
        <v>NOT ACTIVE</v>
      </c>
      <c r="I238" s="6" t="str">
        <f t="array" ref="I238">INDEX(DvP!$B$2:$F$31,MATCH($E238,DvP!$A$2:$A$31,0),MATCH($A238,DvP!$B$1:$F$1,0))</f>
        <v>#N/A</v>
      </c>
      <c r="J238" s="8" t="str">
        <f t="array" ref="J238">INDEX(DvA!$B$2:$I$31,MATCH($E238,DvA!$A$2:$A$31,0),MATCH($K238,DvA!$B$1:$I$1,0))</f>
        <v>#N/A</v>
      </c>
      <c r="K238" s="8" t="str">
        <f>VLOOKUP(B238,archtypes!A:B,2,false)</f>
        <v>#N/A</v>
      </c>
      <c r="L238" s="8">
        <f t="shared" si="2"/>
        <v>0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"/>
      <c r="B239" s="1"/>
      <c r="C239" s="2"/>
      <c r="D239" s="1"/>
      <c r="E239" s="1"/>
      <c r="F239" s="7" t="str">
        <f>iferror(VLOOKUP(B239,projections!A:B,2,false), "NOT ACTIVE")</f>
        <v>NOT ACTIVE</v>
      </c>
      <c r="G239" s="8" t="str">
        <f t="shared" si="1"/>
        <v>NOT ACTIVE</v>
      </c>
      <c r="H239" s="6" t="str">
        <f>iferror(VLOOKUP(B239,usage!A:B,2,false), "NOT ACTIVE")</f>
        <v>NOT ACTIVE</v>
      </c>
      <c r="I239" s="6" t="str">
        <f t="array" ref="I239">INDEX(DvP!$B$2:$F$31,MATCH($E239,DvP!$A$2:$A$31,0),MATCH($A239,DvP!$B$1:$F$1,0))</f>
        <v>#N/A</v>
      </c>
      <c r="J239" s="8" t="str">
        <f t="array" ref="J239">INDEX(DvA!$B$2:$I$31,MATCH($E239,DvA!$A$2:$A$31,0),MATCH($K239,DvA!$B$1:$I$1,0))</f>
        <v>#N/A</v>
      </c>
      <c r="K239" s="8" t="str">
        <f>VLOOKUP(B239,archtypes!A:B,2,false)</f>
        <v>#N/A</v>
      </c>
      <c r="L239" s="8">
        <f t="shared" si="2"/>
        <v>0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"/>
      <c r="B240" s="1"/>
      <c r="C240" s="2"/>
      <c r="D240" s="1"/>
      <c r="E240" s="1"/>
      <c r="F240" s="7" t="str">
        <f>iferror(VLOOKUP(B240,projections!A:B,2,false), "NOT ACTIVE")</f>
        <v>NOT ACTIVE</v>
      </c>
      <c r="G240" s="8" t="str">
        <f t="shared" si="1"/>
        <v>NOT ACTIVE</v>
      </c>
      <c r="H240" s="6" t="str">
        <f>iferror(VLOOKUP(B240,usage!A:B,2,false), "NOT ACTIVE")</f>
        <v>NOT ACTIVE</v>
      </c>
      <c r="I240" s="6" t="str">
        <f t="array" ref="I240">INDEX(DvP!$B$2:$F$31,MATCH($E240,DvP!$A$2:$A$31,0),MATCH($A240,DvP!$B$1:$F$1,0))</f>
        <v>#N/A</v>
      </c>
      <c r="J240" s="8" t="str">
        <f t="array" ref="J240">INDEX(DvA!$B$2:$I$31,MATCH($E240,DvA!$A$2:$A$31,0),MATCH($K240,DvA!$B$1:$I$1,0))</f>
        <v>#N/A</v>
      </c>
      <c r="K240" s="8" t="str">
        <f>VLOOKUP(B240,archtypes!A:B,2,false)</f>
        <v>#N/A</v>
      </c>
      <c r="L240" s="8">
        <f t="shared" si="2"/>
        <v>0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"/>
      <c r="B241" s="1"/>
      <c r="C241" s="2"/>
      <c r="D241" s="1"/>
      <c r="E241" s="1"/>
      <c r="F241" s="7" t="str">
        <f>iferror(VLOOKUP(B241,projections!A:B,2,false), "NOT ACTIVE")</f>
        <v>NOT ACTIVE</v>
      </c>
      <c r="G241" s="8" t="str">
        <f t="shared" si="1"/>
        <v>NOT ACTIVE</v>
      </c>
      <c r="H241" s="6" t="str">
        <f>iferror(VLOOKUP(B241,usage!A:B,2,false), "NOT ACTIVE")</f>
        <v>NOT ACTIVE</v>
      </c>
      <c r="I241" s="6" t="str">
        <f t="array" ref="I241">INDEX(DvP!$B$2:$F$31,MATCH($E241,DvP!$A$2:$A$31,0),MATCH($A241,DvP!$B$1:$F$1,0))</f>
        <v>#N/A</v>
      </c>
      <c r="J241" s="8" t="str">
        <f t="array" ref="J241">INDEX(DvA!$B$2:$I$31,MATCH($E241,DvA!$A$2:$A$31,0),MATCH($K241,DvA!$B$1:$I$1,0))</f>
        <v>#N/A</v>
      </c>
      <c r="K241" s="8" t="str">
        <f>VLOOKUP(B241,archtypes!A:B,2,false)</f>
        <v>#N/A</v>
      </c>
      <c r="L241" s="8">
        <f t="shared" si="2"/>
        <v>0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/>
      <c r="B242" s="1"/>
      <c r="C242" s="2"/>
      <c r="D242" s="1"/>
      <c r="E242" s="1"/>
      <c r="F242" s="7" t="str">
        <f>iferror(VLOOKUP(B242,projections!A:B,2,false), "NOT ACTIVE")</f>
        <v>NOT ACTIVE</v>
      </c>
      <c r="G242" s="8" t="str">
        <f t="shared" si="1"/>
        <v>NOT ACTIVE</v>
      </c>
      <c r="H242" s="6" t="str">
        <f>iferror(VLOOKUP(B242,usage!A:B,2,false), "NOT ACTIVE")</f>
        <v>NOT ACTIVE</v>
      </c>
      <c r="I242" s="6" t="str">
        <f t="array" ref="I242">INDEX(DvP!$B$2:$F$31,MATCH($E242,DvP!$A$2:$A$31,0),MATCH($A242,DvP!$B$1:$F$1,0))</f>
        <v>#N/A</v>
      </c>
      <c r="J242" s="8" t="str">
        <f t="array" ref="J242">INDEX(DvA!$B$2:$I$31,MATCH($E242,DvA!$A$2:$A$31,0),MATCH($K242,DvA!$B$1:$I$1,0))</f>
        <v>#N/A</v>
      </c>
      <c r="K242" s="8" t="str">
        <f>VLOOKUP(B242,archtypes!A:B,2,false)</f>
        <v>#N/A</v>
      </c>
      <c r="L242" s="8">
        <f t="shared" si="2"/>
        <v>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"/>
      <c r="B243" s="1"/>
      <c r="C243" s="2"/>
      <c r="D243" s="1"/>
      <c r="E243" s="1"/>
      <c r="F243" s="7" t="str">
        <f>iferror(VLOOKUP(B243,projections!A:B,2,false), "NOT ACTIVE")</f>
        <v>NOT ACTIVE</v>
      </c>
      <c r="G243" s="8" t="str">
        <f t="shared" si="1"/>
        <v>NOT ACTIVE</v>
      </c>
      <c r="H243" s="6" t="str">
        <f>iferror(VLOOKUP(B243,usage!A:B,2,false), "NOT ACTIVE")</f>
        <v>NOT ACTIVE</v>
      </c>
      <c r="I243" s="6" t="str">
        <f t="array" ref="I243">INDEX(DvP!$B$2:$F$31,MATCH($E243,DvP!$A$2:$A$31,0),MATCH($A243,DvP!$B$1:$F$1,0))</f>
        <v>#N/A</v>
      </c>
      <c r="J243" s="8" t="str">
        <f t="array" ref="J243">INDEX(DvA!$B$2:$I$31,MATCH($E243,DvA!$A$2:$A$31,0),MATCH($K243,DvA!$B$1:$I$1,0))</f>
        <v>#N/A</v>
      </c>
      <c r="K243" s="8" t="str">
        <f>VLOOKUP(B243,archtypes!A:B,2,false)</f>
        <v>#N/A</v>
      </c>
      <c r="L243" s="8">
        <f t="shared" si="2"/>
        <v>0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"/>
      <c r="B244" s="1"/>
      <c r="C244" s="2"/>
      <c r="D244" s="1"/>
      <c r="E244" s="1"/>
      <c r="F244" s="7" t="str">
        <f>iferror(VLOOKUP(B244,projections!A:B,2,false), "NOT ACTIVE")</f>
        <v>NOT ACTIVE</v>
      </c>
      <c r="G244" s="8" t="str">
        <f t="shared" si="1"/>
        <v>NOT ACTIVE</v>
      </c>
      <c r="H244" s="6" t="str">
        <f>iferror(VLOOKUP(B244,usage!A:B,2,false), "NOT ACTIVE")</f>
        <v>NOT ACTIVE</v>
      </c>
      <c r="I244" s="6" t="str">
        <f t="array" ref="I244">INDEX(DvP!$B$2:$F$31,MATCH($E244,DvP!$A$2:$A$31,0),MATCH($A244,DvP!$B$1:$F$1,0))</f>
        <v>#N/A</v>
      </c>
      <c r="J244" s="8" t="str">
        <f t="array" ref="J244">INDEX(DvA!$B$2:$I$31,MATCH($E244,DvA!$A$2:$A$31,0),MATCH($K244,DvA!$B$1:$I$1,0))</f>
        <v>#N/A</v>
      </c>
      <c r="K244" s="8" t="str">
        <f>VLOOKUP(B244,archtypes!A:B,2,false)</f>
        <v>#N/A</v>
      </c>
      <c r="L244" s="8">
        <f t="shared" si="2"/>
        <v>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"/>
      <c r="B245" s="1"/>
      <c r="C245" s="2"/>
      <c r="D245" s="1"/>
      <c r="E245" s="1"/>
      <c r="F245" s="7" t="str">
        <f>iferror(VLOOKUP(B245,projections!A:B,2,false), "NOT ACTIVE")</f>
        <v>NOT ACTIVE</v>
      </c>
      <c r="G245" s="8" t="str">
        <f t="shared" si="1"/>
        <v>NOT ACTIVE</v>
      </c>
      <c r="H245" s="6" t="str">
        <f>iferror(VLOOKUP(B245,usage!A:B,2,false), "NOT ACTIVE")</f>
        <v>NOT ACTIVE</v>
      </c>
      <c r="I245" s="6" t="str">
        <f t="array" ref="I245">INDEX(DvP!$B$2:$F$31,MATCH($E245,DvP!$A$2:$A$31,0),MATCH($A245,DvP!$B$1:$F$1,0))</f>
        <v>#N/A</v>
      </c>
      <c r="J245" s="8" t="str">
        <f t="array" ref="J245">INDEX(DvA!$B$2:$I$31,MATCH($E245,DvA!$A$2:$A$31,0),MATCH($K245,DvA!$B$1:$I$1,0))</f>
        <v>#N/A</v>
      </c>
      <c r="K245" s="8" t="str">
        <f>VLOOKUP(B245,archtypes!A:B,2,false)</f>
        <v>#N/A</v>
      </c>
      <c r="L245" s="8">
        <f t="shared" si="2"/>
        <v>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"/>
      <c r="B246" s="1"/>
      <c r="C246" s="2"/>
      <c r="D246" s="1"/>
      <c r="E246" s="1"/>
      <c r="F246" s="7" t="str">
        <f>iferror(VLOOKUP(B246,projections!A:B,2,false), "NOT ACTIVE")</f>
        <v>NOT ACTIVE</v>
      </c>
      <c r="G246" s="8" t="str">
        <f t="shared" si="1"/>
        <v>NOT ACTIVE</v>
      </c>
      <c r="H246" s="6" t="str">
        <f>iferror(VLOOKUP(B246,usage!A:B,2,false), "NOT ACTIVE")</f>
        <v>NOT ACTIVE</v>
      </c>
      <c r="I246" s="6" t="str">
        <f t="array" ref="I246">INDEX(DvP!$B$2:$F$31,MATCH($E246,DvP!$A$2:$A$31,0),MATCH($A246,DvP!$B$1:$F$1,0))</f>
        <v>#N/A</v>
      </c>
      <c r="J246" s="8" t="str">
        <f t="array" ref="J246">INDEX(DvA!$B$2:$I$31,MATCH($E246,DvA!$A$2:$A$31,0),MATCH($K246,DvA!$B$1:$I$1,0))</f>
        <v>#N/A</v>
      </c>
      <c r="K246" s="8" t="str">
        <f>VLOOKUP(B246,archtypes!A:B,2,false)</f>
        <v>#N/A</v>
      </c>
      <c r="L246" s="8">
        <f t="shared" si="2"/>
        <v>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"/>
      <c r="B247" s="1"/>
      <c r="C247" s="2"/>
      <c r="D247" s="1"/>
      <c r="E247" s="1"/>
      <c r="F247" s="7" t="str">
        <f>iferror(VLOOKUP(B247,projections!A:B,2,false), "NOT ACTIVE")</f>
        <v>NOT ACTIVE</v>
      </c>
      <c r="G247" s="8" t="str">
        <f t="shared" si="1"/>
        <v>NOT ACTIVE</v>
      </c>
      <c r="H247" s="6" t="str">
        <f>iferror(VLOOKUP(B247,usage!A:B,2,false), "NOT ACTIVE")</f>
        <v>NOT ACTIVE</v>
      </c>
      <c r="I247" s="6" t="str">
        <f t="array" ref="I247">INDEX(DvP!$B$2:$F$31,MATCH($E247,DvP!$A$2:$A$31,0),MATCH($A247,DvP!$B$1:$F$1,0))</f>
        <v>#N/A</v>
      </c>
      <c r="J247" s="8" t="str">
        <f t="array" ref="J247">INDEX(DvA!$B$2:$I$31,MATCH($E247,DvA!$A$2:$A$31,0),MATCH($K247,DvA!$B$1:$I$1,0))</f>
        <v>#N/A</v>
      </c>
      <c r="K247" s="8" t="str">
        <f>VLOOKUP(B247,archtypes!A:B,2,false)</f>
        <v>#N/A</v>
      </c>
      <c r="L247" s="8">
        <f t="shared" si="2"/>
        <v>0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"/>
      <c r="B248" s="1"/>
      <c r="C248" s="2"/>
      <c r="D248" s="1"/>
      <c r="E248" s="1"/>
      <c r="F248" s="7" t="str">
        <f>iferror(VLOOKUP(B248,projections!A:B,2,false), "NOT ACTIVE")</f>
        <v>NOT ACTIVE</v>
      </c>
      <c r="G248" s="8" t="str">
        <f t="shared" si="1"/>
        <v>NOT ACTIVE</v>
      </c>
      <c r="H248" s="6" t="str">
        <f>iferror(VLOOKUP(B248,usage!A:B,2,false), "NOT ACTIVE")</f>
        <v>NOT ACTIVE</v>
      </c>
      <c r="I248" s="6" t="str">
        <f t="array" ref="I248">INDEX(DvP!$B$2:$F$31,MATCH($E248,DvP!$A$2:$A$31,0),MATCH($A248,DvP!$B$1:$F$1,0))</f>
        <v>#N/A</v>
      </c>
      <c r="J248" s="8" t="str">
        <f t="array" ref="J248">INDEX(DvA!$B$2:$I$31,MATCH($E248,DvA!$A$2:$A$31,0),MATCH($K248,DvA!$B$1:$I$1,0))</f>
        <v>#N/A</v>
      </c>
      <c r="K248" s="8" t="str">
        <f>VLOOKUP(B248,archtypes!A:B,2,false)</f>
        <v>#N/A</v>
      </c>
      <c r="L248" s="8">
        <f t="shared" si="2"/>
        <v>0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"/>
      <c r="B249" s="1"/>
      <c r="C249" s="2"/>
      <c r="D249" s="1"/>
      <c r="E249" s="1"/>
      <c r="F249" s="7" t="str">
        <f>iferror(VLOOKUP(B249,projections!A:B,2,false), "NOT ACTIVE")</f>
        <v>NOT ACTIVE</v>
      </c>
      <c r="G249" s="8" t="str">
        <f t="shared" si="1"/>
        <v>NOT ACTIVE</v>
      </c>
      <c r="H249" s="6" t="str">
        <f>iferror(VLOOKUP(B249,usage!A:B,2,false), "NOT ACTIVE")</f>
        <v>NOT ACTIVE</v>
      </c>
      <c r="I249" s="6" t="str">
        <f t="array" ref="I249">INDEX(DvP!$B$2:$F$31,MATCH($E249,DvP!$A$2:$A$31,0),MATCH($A249,DvP!$B$1:$F$1,0))</f>
        <v>#N/A</v>
      </c>
      <c r="J249" s="8" t="str">
        <f t="array" ref="J249">INDEX(DvA!$B$2:$I$31,MATCH($E249,DvA!$A$2:$A$31,0),MATCH($K249,DvA!$B$1:$I$1,0))</f>
        <v>#N/A</v>
      </c>
      <c r="K249" s="8" t="str">
        <f>VLOOKUP(B249,archtypes!A:B,2,false)</f>
        <v>#N/A</v>
      </c>
      <c r="L249" s="8">
        <f t="shared" si="2"/>
        <v>0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"/>
      <c r="B250" s="1"/>
      <c r="C250" s="2"/>
      <c r="D250" s="1"/>
      <c r="E250" s="1"/>
      <c r="F250" s="7" t="str">
        <f>iferror(VLOOKUP(B250,projections!A:B,2,false), "NOT ACTIVE")</f>
        <v>NOT ACTIVE</v>
      </c>
      <c r="G250" s="8" t="str">
        <f t="shared" si="1"/>
        <v>NOT ACTIVE</v>
      </c>
      <c r="H250" s="6" t="str">
        <f>iferror(VLOOKUP(B250,usage!A:B,2,false), "NOT ACTIVE")</f>
        <v>NOT ACTIVE</v>
      </c>
      <c r="I250" s="6" t="str">
        <f t="array" ref="I250">INDEX(DvP!$B$2:$F$31,MATCH($E250,DvP!$A$2:$A$31,0),MATCH($A250,DvP!$B$1:$F$1,0))</f>
        <v>#N/A</v>
      </c>
      <c r="J250" s="8" t="str">
        <f t="array" ref="J250">INDEX(DvA!$B$2:$I$31,MATCH($E250,DvA!$A$2:$A$31,0),MATCH($K250,DvA!$B$1:$I$1,0))</f>
        <v>#N/A</v>
      </c>
      <c r="K250" s="8" t="str">
        <f>VLOOKUP(B250,archtypes!A:B,2,false)</f>
        <v>#N/A</v>
      </c>
      <c r="L250" s="8">
        <f t="shared" si="2"/>
        <v>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"/>
      <c r="B251" s="1"/>
      <c r="C251" s="2"/>
      <c r="D251" s="1"/>
      <c r="E251" s="1"/>
      <c r="F251" s="7" t="str">
        <f>iferror(VLOOKUP(B251,projections!A:B,2,false), "NOT ACTIVE")</f>
        <v>NOT ACTIVE</v>
      </c>
      <c r="G251" s="8" t="str">
        <f t="shared" si="1"/>
        <v>NOT ACTIVE</v>
      </c>
      <c r="H251" s="6" t="str">
        <f>iferror(VLOOKUP(B251,usage!A:B,2,false), "NOT ACTIVE")</f>
        <v>NOT ACTIVE</v>
      </c>
      <c r="I251" s="6" t="str">
        <f t="array" ref="I251">INDEX(DvP!$B$2:$F$31,MATCH($E251,DvP!$A$2:$A$31,0),MATCH($A251,DvP!$B$1:$F$1,0))</f>
        <v>#N/A</v>
      </c>
      <c r="J251" s="8" t="str">
        <f t="array" ref="J251">INDEX(DvA!$B$2:$I$31,MATCH($E251,DvA!$A$2:$A$31,0),MATCH($K251,DvA!$B$1:$I$1,0))</f>
        <v>#N/A</v>
      </c>
      <c r="K251" s="8" t="str">
        <f>VLOOKUP(B251,archtypes!A:B,2,false)</f>
        <v>#N/A</v>
      </c>
      <c r="L251" s="8">
        <f t="shared" si="2"/>
        <v>0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"/>
      <c r="B252" s="1"/>
      <c r="C252" s="2"/>
      <c r="D252" s="1"/>
      <c r="E252" s="1"/>
      <c r="F252" s="7" t="str">
        <f>iferror(VLOOKUP(B252,projections!A:B,2,false), "NOT ACTIVE")</f>
        <v>NOT ACTIVE</v>
      </c>
      <c r="G252" s="8" t="str">
        <f t="shared" si="1"/>
        <v>NOT ACTIVE</v>
      </c>
      <c r="H252" s="6" t="str">
        <f>iferror(VLOOKUP(B252,usage!A:B,2,false), "NOT ACTIVE")</f>
        <v>NOT ACTIVE</v>
      </c>
      <c r="I252" s="6" t="str">
        <f t="array" ref="I252">INDEX(DvP!$B$2:$F$31,MATCH($E252,DvP!$A$2:$A$31,0),MATCH($A252,DvP!$B$1:$F$1,0))</f>
        <v>#N/A</v>
      </c>
      <c r="J252" s="8" t="str">
        <f t="array" ref="J252">INDEX(DvA!$B$2:$I$31,MATCH($E252,DvA!$A$2:$A$31,0),MATCH($K252,DvA!$B$1:$I$1,0))</f>
        <v>#N/A</v>
      </c>
      <c r="K252" s="8" t="str">
        <f>VLOOKUP(B252,archtypes!A:B,2,false)</f>
        <v>#N/A</v>
      </c>
      <c r="L252" s="8">
        <f t="shared" si="2"/>
        <v>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"/>
      <c r="B253" s="1"/>
      <c r="C253" s="2"/>
      <c r="D253" s="1"/>
      <c r="E253" s="1"/>
      <c r="F253" s="7" t="str">
        <f>iferror(VLOOKUP(B253,projections!A:B,2,false), "NOT ACTIVE")</f>
        <v>NOT ACTIVE</v>
      </c>
      <c r="G253" s="8" t="str">
        <f t="shared" si="1"/>
        <v>NOT ACTIVE</v>
      </c>
      <c r="H253" s="6" t="str">
        <f>iferror(VLOOKUP(B253,usage!A:B,2,false), "NOT ACTIVE")</f>
        <v>NOT ACTIVE</v>
      </c>
      <c r="I253" s="6" t="str">
        <f t="array" ref="I253">INDEX(DvP!$B$2:$F$31,MATCH($E253,DvP!$A$2:$A$31,0),MATCH($A253,DvP!$B$1:$F$1,0))</f>
        <v>#N/A</v>
      </c>
      <c r="J253" s="8" t="str">
        <f t="array" ref="J253">INDEX(DvA!$B$2:$I$31,MATCH($E253,DvA!$A$2:$A$31,0),MATCH($K253,DvA!$B$1:$I$1,0))</f>
        <v>#N/A</v>
      </c>
      <c r="K253" s="8" t="str">
        <f>VLOOKUP(B253,archtypes!A:B,2,false)</f>
        <v>#N/A</v>
      </c>
      <c r="L253" s="8">
        <f t="shared" si="2"/>
        <v>0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"/>
      <c r="B254" s="1"/>
      <c r="C254" s="2"/>
      <c r="D254" s="1"/>
      <c r="E254" s="1"/>
      <c r="F254" s="7" t="str">
        <f>iferror(VLOOKUP(B254,projections!A:B,2,false), "NOT ACTIVE")</f>
        <v>NOT ACTIVE</v>
      </c>
      <c r="G254" s="8" t="str">
        <f t="shared" si="1"/>
        <v>NOT ACTIVE</v>
      </c>
      <c r="H254" s="6" t="str">
        <f>iferror(VLOOKUP(B254,usage!A:B,2,false), "NOT ACTIVE")</f>
        <v>NOT ACTIVE</v>
      </c>
      <c r="I254" s="6" t="str">
        <f t="array" ref="I254">INDEX(DvP!$B$2:$F$31,MATCH($E254,DvP!$A$2:$A$31,0),MATCH($A254,DvP!$B$1:$F$1,0))</f>
        <v>#N/A</v>
      </c>
      <c r="J254" s="8" t="str">
        <f t="array" ref="J254">INDEX(DvA!$B$2:$I$31,MATCH($E254,DvA!$A$2:$A$31,0),MATCH($K254,DvA!$B$1:$I$1,0))</f>
        <v>#N/A</v>
      </c>
      <c r="K254" s="8" t="str">
        <f>VLOOKUP(B254,archtypes!A:B,2,false)</f>
        <v>#N/A</v>
      </c>
      <c r="L254" s="8">
        <f t="shared" si="2"/>
        <v>0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"/>
      <c r="B255" s="1"/>
      <c r="C255" s="2"/>
      <c r="D255" s="1"/>
      <c r="E255" s="1"/>
      <c r="F255" s="7" t="str">
        <f>iferror(VLOOKUP(B255,projections!A:B,2,false), "NOT ACTIVE")</f>
        <v>NOT ACTIVE</v>
      </c>
      <c r="G255" s="8" t="str">
        <f t="shared" si="1"/>
        <v>NOT ACTIVE</v>
      </c>
      <c r="H255" s="6" t="str">
        <f>iferror(VLOOKUP(B255,usage!A:B,2,false), "NOT ACTIVE")</f>
        <v>NOT ACTIVE</v>
      </c>
      <c r="I255" s="6" t="str">
        <f t="array" ref="I255">INDEX(DvP!$B$2:$F$31,MATCH($E255,DvP!$A$2:$A$31,0),MATCH($A255,DvP!$B$1:$F$1,0))</f>
        <v>#N/A</v>
      </c>
      <c r="J255" s="8" t="str">
        <f t="array" ref="J255">INDEX(DvA!$B$2:$I$31,MATCH($E255,DvA!$A$2:$A$31,0),MATCH($K255,DvA!$B$1:$I$1,0))</f>
        <v>#N/A</v>
      </c>
      <c r="K255" s="8" t="str">
        <f>VLOOKUP(B255,archtypes!A:B,2,false)</f>
        <v>#N/A</v>
      </c>
      <c r="L255" s="8">
        <f t="shared" si="2"/>
        <v>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"/>
      <c r="B256" s="1"/>
      <c r="C256" s="2"/>
      <c r="D256" s="1"/>
      <c r="E256" s="1"/>
      <c r="F256" s="7" t="str">
        <f>iferror(VLOOKUP(B256,projections!A:B,2,false), "NOT ACTIVE")</f>
        <v>NOT ACTIVE</v>
      </c>
      <c r="G256" s="8" t="str">
        <f t="shared" si="1"/>
        <v>NOT ACTIVE</v>
      </c>
      <c r="H256" s="6" t="str">
        <f>iferror(VLOOKUP(B256,usage!A:B,2,false), "NOT ACTIVE")</f>
        <v>NOT ACTIVE</v>
      </c>
      <c r="I256" s="6" t="str">
        <f t="array" ref="I256">INDEX(DvP!$B$2:$F$31,MATCH($E256,DvP!$A$2:$A$31,0),MATCH($A256,DvP!$B$1:$F$1,0))</f>
        <v>#N/A</v>
      </c>
      <c r="J256" s="8" t="str">
        <f t="array" ref="J256">INDEX(DvA!$B$2:$I$31,MATCH($E256,DvA!$A$2:$A$31,0),MATCH($K256,DvA!$B$1:$I$1,0))</f>
        <v>#N/A</v>
      </c>
      <c r="K256" s="8" t="str">
        <f>VLOOKUP(B256,archtypes!A:B,2,false)</f>
        <v>#N/A</v>
      </c>
      <c r="L256" s="8">
        <f t="shared" si="2"/>
        <v>0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"/>
      <c r="B257" s="1"/>
      <c r="C257" s="2"/>
      <c r="D257" s="1"/>
      <c r="E257" s="1"/>
      <c r="F257" s="7" t="str">
        <f>iferror(VLOOKUP(B257,projections!A:B,2,false), "NOT ACTIVE")</f>
        <v>NOT ACTIVE</v>
      </c>
      <c r="G257" s="8" t="str">
        <f t="shared" si="1"/>
        <v>NOT ACTIVE</v>
      </c>
      <c r="H257" s="6" t="str">
        <f>iferror(VLOOKUP(B257,usage!A:B,2,false), "NOT ACTIVE")</f>
        <v>NOT ACTIVE</v>
      </c>
      <c r="I257" s="6" t="str">
        <f t="array" ref="I257">INDEX(DvP!$B$2:$F$31,MATCH($E257,DvP!$A$2:$A$31,0),MATCH($A257,DvP!$B$1:$F$1,0))</f>
        <v>#N/A</v>
      </c>
      <c r="J257" s="8" t="str">
        <f t="array" ref="J257">INDEX(DvA!$B$2:$I$31,MATCH($E257,DvA!$A$2:$A$31,0),MATCH($K257,DvA!$B$1:$I$1,0))</f>
        <v>#N/A</v>
      </c>
      <c r="K257" s="8" t="str">
        <f>VLOOKUP(B257,archtypes!A:B,2,false)</f>
        <v>#N/A</v>
      </c>
      <c r="L257" s="8">
        <f t="shared" si="2"/>
        <v>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/>
      <c r="B258" s="1"/>
      <c r="C258" s="2"/>
      <c r="D258" s="1"/>
      <c r="E258" s="1"/>
      <c r="F258" s="7" t="str">
        <f>iferror(VLOOKUP(B258,projections!A:B,2,false), "NOT ACTIVE")</f>
        <v>NOT ACTIVE</v>
      </c>
      <c r="G258" s="8" t="str">
        <f t="shared" si="1"/>
        <v>NOT ACTIVE</v>
      </c>
      <c r="H258" s="6" t="str">
        <f>iferror(VLOOKUP(B258,usage!A:B,2,false), "NOT ACTIVE")</f>
        <v>NOT ACTIVE</v>
      </c>
      <c r="I258" s="6" t="str">
        <f t="array" ref="I258">INDEX(DvP!$B$2:$F$31,MATCH($E258,DvP!$A$2:$A$31,0),MATCH($A258,DvP!$B$1:$F$1,0))</f>
        <v>#N/A</v>
      </c>
      <c r="J258" s="8" t="str">
        <f t="array" ref="J258">INDEX(DvA!$B$2:$I$31,MATCH($E258,DvA!$A$2:$A$31,0),MATCH($K258,DvA!$B$1:$I$1,0))</f>
        <v>#N/A</v>
      </c>
      <c r="K258" s="8" t="str">
        <f>VLOOKUP(B258,archtypes!A:B,2,false)</f>
        <v>#N/A</v>
      </c>
      <c r="L258" s="8">
        <f t="shared" si="2"/>
        <v>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/>
      <c r="B259" s="1"/>
      <c r="C259" s="2"/>
      <c r="D259" s="1"/>
      <c r="E259" s="1"/>
      <c r="F259" s="7" t="str">
        <f>iferror(VLOOKUP(B259,projections!A:B,2,false), "NOT ACTIVE")</f>
        <v>NOT ACTIVE</v>
      </c>
      <c r="G259" s="8" t="str">
        <f t="shared" si="1"/>
        <v>NOT ACTIVE</v>
      </c>
      <c r="H259" s="6" t="str">
        <f>iferror(VLOOKUP(B259,usage!A:B,2,false), "NOT ACTIVE")</f>
        <v>NOT ACTIVE</v>
      </c>
      <c r="I259" s="6" t="str">
        <f t="array" ref="I259">INDEX(DvP!$B$2:$F$31,MATCH($E259,DvP!$A$2:$A$31,0),MATCH($A259,DvP!$B$1:$F$1,0))</f>
        <v>#N/A</v>
      </c>
      <c r="J259" s="8" t="str">
        <f t="array" ref="J259">INDEX(DvA!$B$2:$I$31,MATCH($E259,DvA!$A$2:$A$31,0),MATCH($K259,DvA!$B$1:$I$1,0))</f>
        <v>#N/A</v>
      </c>
      <c r="K259" s="8" t="str">
        <f>VLOOKUP(B259,archtypes!A:B,2,false)</f>
        <v>#N/A</v>
      </c>
      <c r="L259" s="8">
        <f t="shared" si="2"/>
        <v>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"/>
      <c r="B260" s="1"/>
      <c r="C260" s="2"/>
      <c r="D260" s="1"/>
      <c r="E260" s="1"/>
      <c r="F260" s="7" t="str">
        <f>iferror(VLOOKUP(B260,projections!A:B,2,false), "NOT ACTIVE")</f>
        <v>NOT ACTIVE</v>
      </c>
      <c r="G260" s="8" t="str">
        <f t="shared" si="1"/>
        <v>NOT ACTIVE</v>
      </c>
      <c r="H260" s="6" t="str">
        <f>iferror(VLOOKUP(B260,usage!A:B,2,false), "NOT ACTIVE")</f>
        <v>NOT ACTIVE</v>
      </c>
      <c r="I260" s="6" t="str">
        <f t="array" ref="I260">INDEX(DvP!$B$2:$F$31,MATCH($E260,DvP!$A$2:$A$31,0),MATCH($A260,DvP!$B$1:$F$1,0))</f>
        <v>#N/A</v>
      </c>
      <c r="J260" s="8" t="str">
        <f t="array" ref="J260">INDEX(DvA!$B$2:$I$31,MATCH($E260,DvA!$A$2:$A$31,0),MATCH($K260,DvA!$B$1:$I$1,0))</f>
        <v>#N/A</v>
      </c>
      <c r="K260" s="8" t="str">
        <f>VLOOKUP(B260,archtypes!A:B,2,false)</f>
        <v>#N/A</v>
      </c>
      <c r="L260" s="8">
        <f t="shared" si="2"/>
        <v>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"/>
      <c r="B261" s="1"/>
      <c r="C261" s="2"/>
      <c r="D261" s="1"/>
      <c r="E261" s="1"/>
      <c r="F261" s="7" t="str">
        <f>iferror(VLOOKUP(B261,projections!A:B,2,false), "NOT ACTIVE")</f>
        <v>NOT ACTIVE</v>
      </c>
      <c r="G261" s="8" t="str">
        <f t="shared" si="1"/>
        <v>NOT ACTIVE</v>
      </c>
      <c r="H261" s="6" t="str">
        <f>iferror(VLOOKUP(B261,usage!A:B,2,false), "NOT ACTIVE")</f>
        <v>NOT ACTIVE</v>
      </c>
      <c r="I261" s="6" t="str">
        <f t="array" ref="I261">INDEX(DvP!$B$2:$F$31,MATCH($E261,DvP!$A$2:$A$31,0),MATCH($A261,DvP!$B$1:$F$1,0))</f>
        <v>#N/A</v>
      </c>
      <c r="J261" s="8" t="str">
        <f t="array" ref="J261">INDEX(DvA!$B$2:$I$31,MATCH($E261,DvA!$A$2:$A$31,0),MATCH($K261,DvA!$B$1:$I$1,0))</f>
        <v>#N/A</v>
      </c>
      <c r="K261" s="8" t="str">
        <f>VLOOKUP(B261,archtypes!A:B,2,false)</f>
        <v>#N/A</v>
      </c>
      <c r="L261" s="8">
        <f t="shared" si="2"/>
        <v>0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"/>
      <c r="B262" s="1"/>
      <c r="C262" s="2"/>
      <c r="D262" s="1"/>
      <c r="E262" s="1"/>
      <c r="F262" s="7" t="str">
        <f>iferror(VLOOKUP(B262,projections!A:B,2,false), "NOT ACTIVE")</f>
        <v>NOT ACTIVE</v>
      </c>
      <c r="G262" s="8" t="str">
        <f t="shared" si="1"/>
        <v>NOT ACTIVE</v>
      </c>
      <c r="H262" s="6" t="str">
        <f>iferror(VLOOKUP(B262,usage!A:B,2,false), "NOT ACTIVE")</f>
        <v>NOT ACTIVE</v>
      </c>
      <c r="I262" s="6" t="str">
        <f t="array" ref="I262">INDEX(DvP!$B$2:$F$31,MATCH($E262,DvP!$A$2:$A$31,0),MATCH($A262,DvP!$B$1:$F$1,0))</f>
        <v>#N/A</v>
      </c>
      <c r="J262" s="8" t="str">
        <f t="array" ref="J262">INDEX(DvA!$B$2:$I$31,MATCH($E262,DvA!$A$2:$A$31,0),MATCH($K262,DvA!$B$1:$I$1,0))</f>
        <v>#N/A</v>
      </c>
      <c r="K262" s="8" t="str">
        <f>VLOOKUP(B262,archtypes!A:B,2,false)</f>
        <v>#N/A</v>
      </c>
      <c r="L262" s="8">
        <f t="shared" si="2"/>
        <v>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"/>
      <c r="B263" s="1"/>
      <c r="C263" s="2"/>
      <c r="D263" s="1"/>
      <c r="E263" s="1"/>
      <c r="F263" s="7" t="str">
        <f>iferror(VLOOKUP(B263,projections!A:B,2,false), "NOT ACTIVE")</f>
        <v>NOT ACTIVE</v>
      </c>
      <c r="G263" s="8" t="str">
        <f t="shared" si="1"/>
        <v>NOT ACTIVE</v>
      </c>
      <c r="H263" s="6" t="str">
        <f>iferror(VLOOKUP(B263,usage!A:B,2,false), "NOT ACTIVE")</f>
        <v>NOT ACTIVE</v>
      </c>
      <c r="I263" s="6" t="str">
        <f t="array" ref="I263">INDEX(DvP!$B$2:$F$31,MATCH($E263,DvP!$A$2:$A$31,0),MATCH($A263,DvP!$B$1:$F$1,0))</f>
        <v>#N/A</v>
      </c>
      <c r="J263" s="8" t="str">
        <f t="array" ref="J263">INDEX(DvA!$B$2:$I$31,MATCH($E263,DvA!$A$2:$A$31,0),MATCH($K263,DvA!$B$1:$I$1,0))</f>
        <v>#N/A</v>
      </c>
      <c r="K263" s="8" t="str">
        <f>VLOOKUP(B263,archtypes!A:B,2,false)</f>
        <v>#N/A</v>
      </c>
      <c r="L263" s="8">
        <f t="shared" si="2"/>
        <v>0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"/>
      <c r="B264" s="1"/>
      <c r="C264" s="2"/>
      <c r="D264" s="1"/>
      <c r="E264" s="1"/>
      <c r="F264" s="7" t="str">
        <f>iferror(VLOOKUP(B264,projections!A:B,2,false), "NOT ACTIVE")</f>
        <v>NOT ACTIVE</v>
      </c>
      <c r="G264" s="8" t="str">
        <f t="shared" si="1"/>
        <v>NOT ACTIVE</v>
      </c>
      <c r="H264" s="6" t="str">
        <f>iferror(VLOOKUP(B264,usage!A:B,2,false), "NOT ACTIVE")</f>
        <v>NOT ACTIVE</v>
      </c>
      <c r="I264" s="6" t="str">
        <f t="array" ref="I264">INDEX(DvP!$B$2:$F$31,MATCH($E264,DvP!$A$2:$A$31,0),MATCH($A264,DvP!$B$1:$F$1,0))</f>
        <v>#N/A</v>
      </c>
      <c r="J264" s="8" t="str">
        <f t="array" ref="J264">INDEX(DvA!$B$2:$I$31,MATCH($E264,DvA!$A$2:$A$31,0),MATCH($K264,DvA!$B$1:$I$1,0))</f>
        <v>#N/A</v>
      </c>
      <c r="K264" s="8" t="str">
        <f>VLOOKUP(B264,archtypes!A:B,2,false)</f>
        <v>#N/A</v>
      </c>
      <c r="L264" s="8">
        <f t="shared" si="2"/>
        <v>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"/>
      <c r="B265" s="1"/>
      <c r="C265" s="2"/>
      <c r="D265" s="1"/>
      <c r="E265" s="1"/>
      <c r="F265" s="7" t="str">
        <f>iferror(VLOOKUP(B265,projections!A:B,2,false), "NOT ACTIVE")</f>
        <v>NOT ACTIVE</v>
      </c>
      <c r="G265" s="8" t="str">
        <f t="shared" si="1"/>
        <v>NOT ACTIVE</v>
      </c>
      <c r="H265" s="6" t="str">
        <f>iferror(VLOOKUP(B265,usage!A:B,2,false), "NOT ACTIVE")</f>
        <v>NOT ACTIVE</v>
      </c>
      <c r="I265" s="6" t="str">
        <f t="array" ref="I265">INDEX(DvP!$B$2:$F$31,MATCH($E265,DvP!$A$2:$A$31,0),MATCH($A265,DvP!$B$1:$F$1,0))</f>
        <v>#N/A</v>
      </c>
      <c r="J265" s="8" t="str">
        <f t="array" ref="J265">INDEX(DvA!$B$2:$I$31,MATCH($E265,DvA!$A$2:$A$31,0),MATCH($K265,DvA!$B$1:$I$1,0))</f>
        <v>#N/A</v>
      </c>
      <c r="K265" s="8" t="str">
        <f>VLOOKUP(B265,archtypes!A:B,2,false)</f>
        <v>#N/A</v>
      </c>
      <c r="L265" s="8">
        <f t="shared" si="2"/>
        <v>0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"/>
      <c r="B266" s="1"/>
      <c r="C266" s="2"/>
      <c r="D266" s="1"/>
      <c r="E266" s="1"/>
      <c r="F266" s="7" t="str">
        <f>iferror(VLOOKUP(B266,projections!A:B,2,false), "NOT ACTIVE")</f>
        <v>NOT ACTIVE</v>
      </c>
      <c r="G266" s="8" t="str">
        <f t="shared" si="1"/>
        <v>NOT ACTIVE</v>
      </c>
      <c r="H266" s="6" t="str">
        <f>iferror(VLOOKUP(B266,usage!A:B,2,false), "NOT ACTIVE")</f>
        <v>NOT ACTIVE</v>
      </c>
      <c r="I266" s="6" t="str">
        <f t="array" ref="I266">INDEX(DvP!$B$2:$F$31,MATCH($E266,DvP!$A$2:$A$31,0),MATCH($A266,DvP!$B$1:$F$1,0))</f>
        <v>#N/A</v>
      </c>
      <c r="J266" s="8" t="str">
        <f t="array" ref="J266">INDEX(DvA!$B$2:$I$31,MATCH($E266,DvA!$A$2:$A$31,0),MATCH($K266,DvA!$B$1:$I$1,0))</f>
        <v>#N/A</v>
      </c>
      <c r="K266" s="8" t="str">
        <f>VLOOKUP(B266,archtypes!A:B,2,false)</f>
        <v>#N/A</v>
      </c>
      <c r="L266" s="8">
        <f t="shared" si="2"/>
        <v>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"/>
      <c r="B267" s="1"/>
      <c r="C267" s="2"/>
      <c r="D267" s="1"/>
      <c r="E267" s="1"/>
      <c r="F267" s="7" t="str">
        <f>iferror(VLOOKUP(B267,projections!A:B,2,false), "NOT ACTIVE")</f>
        <v>NOT ACTIVE</v>
      </c>
      <c r="G267" s="8" t="str">
        <f t="shared" si="1"/>
        <v>NOT ACTIVE</v>
      </c>
      <c r="H267" s="6" t="str">
        <f>iferror(VLOOKUP(B267,usage!A:B,2,false), "NOT ACTIVE")</f>
        <v>NOT ACTIVE</v>
      </c>
      <c r="I267" s="6" t="str">
        <f t="array" ref="I267">INDEX(DvP!$B$2:$F$31,MATCH($E267,DvP!$A$2:$A$31,0),MATCH($A267,DvP!$B$1:$F$1,0))</f>
        <v>#N/A</v>
      </c>
      <c r="J267" s="8" t="str">
        <f t="array" ref="J267">INDEX(DvA!$B$2:$I$31,MATCH($E267,DvA!$A$2:$A$31,0),MATCH($K267,DvA!$B$1:$I$1,0))</f>
        <v>#N/A</v>
      </c>
      <c r="K267" s="8" t="str">
        <f>VLOOKUP(B267,archtypes!A:B,2,false)</f>
        <v>#N/A</v>
      </c>
      <c r="L267" s="8">
        <f t="shared" si="2"/>
        <v>0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"/>
      <c r="B268" s="1"/>
      <c r="C268" s="2"/>
      <c r="D268" s="1"/>
      <c r="E268" s="1"/>
      <c r="F268" s="7" t="str">
        <f>iferror(VLOOKUP(B268,projections!A:B,2,false), "NOT ACTIVE")</f>
        <v>NOT ACTIVE</v>
      </c>
      <c r="G268" s="8" t="str">
        <f t="shared" si="1"/>
        <v>NOT ACTIVE</v>
      </c>
      <c r="H268" s="6" t="str">
        <f>iferror(VLOOKUP(B268,usage!A:B,2,false), "NOT ACTIVE")</f>
        <v>NOT ACTIVE</v>
      </c>
      <c r="I268" s="6" t="str">
        <f t="array" ref="I268">INDEX(DvP!$B$2:$F$31,MATCH($E268,DvP!$A$2:$A$31,0),MATCH($A268,DvP!$B$1:$F$1,0))</f>
        <v>#N/A</v>
      </c>
      <c r="J268" s="8" t="str">
        <f t="array" ref="J268">INDEX(DvA!$B$2:$I$31,MATCH($E268,DvA!$A$2:$A$31,0),MATCH($K268,DvA!$B$1:$I$1,0))</f>
        <v>#N/A</v>
      </c>
      <c r="K268" s="8" t="str">
        <f>VLOOKUP(B268,archtypes!A:B,2,false)</f>
        <v>#N/A</v>
      </c>
      <c r="L268" s="8">
        <f t="shared" si="2"/>
        <v>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/>
      <c r="B269" s="1"/>
      <c r="C269" s="2"/>
      <c r="D269" s="1"/>
      <c r="E269" s="1"/>
      <c r="F269" s="7" t="str">
        <f>iferror(VLOOKUP(B269,projections!A:B,2,false), "NOT ACTIVE")</f>
        <v>NOT ACTIVE</v>
      </c>
      <c r="G269" s="8" t="str">
        <f t="shared" si="1"/>
        <v>NOT ACTIVE</v>
      </c>
      <c r="H269" s="6" t="str">
        <f>iferror(VLOOKUP(B269,usage!A:B,2,false), "NOT ACTIVE")</f>
        <v>NOT ACTIVE</v>
      </c>
      <c r="I269" s="6" t="str">
        <f t="array" ref="I269">INDEX(DvP!$B$2:$F$31,MATCH($E269,DvP!$A$2:$A$31,0),MATCH($A269,DvP!$B$1:$F$1,0))</f>
        <v>#N/A</v>
      </c>
      <c r="J269" s="8" t="str">
        <f t="array" ref="J269">INDEX(DvA!$B$2:$I$31,MATCH($E269,DvA!$A$2:$A$31,0),MATCH($K269,DvA!$B$1:$I$1,0))</f>
        <v>#N/A</v>
      </c>
      <c r="K269" s="8" t="str">
        <f>VLOOKUP(B269,archtypes!A:B,2,false)</f>
        <v>#N/A</v>
      </c>
      <c r="L269" s="8">
        <f t="shared" si="2"/>
        <v>0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10"/>
      <c r="C270" s="11"/>
      <c r="D270" s="10"/>
      <c r="E270" s="9"/>
      <c r="F270" s="7" t="str">
        <f>iferror(VLOOKUP(B270,projections!A:B,2,false), "NOT ACTIVE")</f>
        <v>NOT ACTIVE</v>
      </c>
      <c r="G270" s="8" t="str">
        <f t="shared" si="1"/>
        <v>NOT ACTIVE</v>
      </c>
      <c r="H270" s="6" t="str">
        <f>iferror(VLOOKUP(B270,usage!A:B,2,false), "NOT ACTIVE")</f>
        <v>NOT ACTIVE</v>
      </c>
      <c r="I270" s="6" t="str">
        <f t="array" ref="I270">INDEX(DvP!$B$2:$F$31,MATCH($E270,DvP!$A$2:$A$31,0),MATCH($A270,DvP!$B$1:$F$1,0))</f>
        <v>#N/A</v>
      </c>
      <c r="J270" s="8" t="str">
        <f t="array" ref="J270">INDEX(DvA!$B$2:$I$31,MATCH($E270,DvA!$A$2:$A$31,0),MATCH($K270,DvA!$B$1:$I$1,0))</f>
        <v>#N/A</v>
      </c>
      <c r="K270" s="8" t="str">
        <f>VLOOKUP(B270,archtypes!A:B,2,false)</f>
        <v>#N/A</v>
      </c>
      <c r="L270" s="8">
        <f t="shared" si="2"/>
        <v>0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10"/>
      <c r="C271" s="11"/>
      <c r="D271" s="10"/>
      <c r="E271" s="9"/>
      <c r="F271" s="7" t="str">
        <f>iferror(VLOOKUP(B271,projections!A:B,2,false), "NOT ACTIVE")</f>
        <v>NOT ACTIVE</v>
      </c>
      <c r="G271" s="8" t="str">
        <f t="shared" si="1"/>
        <v>NOT ACTIVE</v>
      </c>
      <c r="H271" s="6" t="str">
        <f>iferror(VLOOKUP(B271,usage!A:B,2,false), "NOT ACTIVE")</f>
        <v>NOT ACTIVE</v>
      </c>
      <c r="I271" s="6" t="str">
        <f t="array" ref="I271">INDEX(DvP!$B$2:$F$31,MATCH($E271,DvP!$A$2:$A$31,0),MATCH($A271,DvP!$B$1:$F$1,0))</f>
        <v>#N/A</v>
      </c>
      <c r="J271" s="8" t="str">
        <f t="array" ref="J271">INDEX(DvA!$B$2:$I$31,MATCH($E271,DvA!$A$2:$A$31,0),MATCH($K271,DvA!$B$1:$I$1,0))</f>
        <v>#N/A</v>
      </c>
      <c r="K271" s="8" t="str">
        <f>VLOOKUP(B271,archtypes!A:B,2,false)</f>
        <v>#N/A</v>
      </c>
      <c r="L271" s="8">
        <f t="shared" si="2"/>
        <v>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10"/>
      <c r="C272" s="11"/>
      <c r="D272" s="10"/>
      <c r="E272" s="9"/>
      <c r="F272" s="7" t="str">
        <f>iferror(VLOOKUP(B272,projections!A:B,2,false), "NOT ACTIVE")</f>
        <v>NOT ACTIVE</v>
      </c>
      <c r="G272" s="8" t="str">
        <f t="shared" si="1"/>
        <v>NOT ACTIVE</v>
      </c>
      <c r="H272" s="6" t="str">
        <f>iferror(VLOOKUP(B272,usage!A:B,2,false), "NOT ACTIVE")</f>
        <v>NOT ACTIVE</v>
      </c>
      <c r="I272" s="6" t="str">
        <f t="array" ref="I272">INDEX(DvP!$B$2:$F$31,MATCH($E272,DvP!$A$2:$A$31,0),MATCH($A272,DvP!$B$1:$F$1,0))</f>
        <v>#N/A</v>
      </c>
      <c r="J272" s="8" t="str">
        <f t="array" ref="J272">INDEX(DvA!$B$2:$I$31,MATCH($E272,DvA!$A$2:$A$31,0),MATCH($K272,DvA!$B$1:$I$1,0))</f>
        <v>#N/A</v>
      </c>
      <c r="K272" s="8" t="str">
        <f>VLOOKUP(B272,archtypes!A:B,2,false)</f>
        <v>#N/A</v>
      </c>
      <c r="L272" s="8">
        <f t="shared" si="2"/>
        <v>0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12"/>
      <c r="C273" s="11"/>
      <c r="D273" s="10"/>
      <c r="E273" s="9"/>
      <c r="F273" s="7" t="str">
        <f>iferror(VLOOKUP(B273,projections!A:B,2,false), "NOT ACTIVE")</f>
        <v>NOT ACTIVE</v>
      </c>
      <c r="G273" s="8" t="str">
        <f t="shared" si="1"/>
        <v>NOT ACTIVE</v>
      </c>
      <c r="H273" s="6" t="str">
        <f>iferror(VLOOKUP(B273,usage!A:B,2,false), "NOT ACTIVE")</f>
        <v>NOT ACTIVE</v>
      </c>
      <c r="I273" s="6" t="str">
        <f t="array" ref="I273">INDEX(DvP!$B$2:$F$31,MATCH($E273,DvP!$A$2:$A$31,0),MATCH($A273,DvP!$B$1:$F$1,0))</f>
        <v>#N/A</v>
      </c>
      <c r="J273" s="8" t="str">
        <f t="array" ref="J273">INDEX(DvA!$B$2:$I$31,MATCH($E273,DvA!$A$2:$A$31,0),MATCH($K273,DvA!$B$1:$I$1,0))</f>
        <v>#N/A</v>
      </c>
      <c r="K273" s="8" t="str">
        <f>VLOOKUP(B273,archtypes!A:B,2,false)</f>
        <v>#N/A</v>
      </c>
      <c r="L273" s="8">
        <f t="shared" si="2"/>
        <v>0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10"/>
      <c r="C274" s="11"/>
      <c r="D274" s="10"/>
      <c r="E274" s="9"/>
      <c r="F274" s="7" t="str">
        <f>iferror(VLOOKUP(B274,projections!A:B,2,false), "NOT ACTIVE")</f>
        <v>NOT ACTIVE</v>
      </c>
      <c r="G274" s="8" t="str">
        <f t="shared" si="1"/>
        <v>NOT ACTIVE</v>
      </c>
      <c r="H274" s="6" t="str">
        <f>iferror(VLOOKUP(B274,usage!A:B,2,false), "NOT ACTIVE")</f>
        <v>NOT ACTIVE</v>
      </c>
      <c r="I274" s="6" t="str">
        <f t="array" ref="I274">INDEX(DvP!$B$2:$F$31,MATCH($E274,DvP!$A$2:$A$31,0),MATCH($A274,DvP!$B$1:$F$1,0))</f>
        <v>#N/A</v>
      </c>
      <c r="J274" s="8" t="str">
        <f t="array" ref="J274">INDEX(DvA!$B$2:$I$31,MATCH($E274,DvA!$A$2:$A$31,0),MATCH($K274,DvA!$B$1:$I$1,0))</f>
        <v>#N/A</v>
      </c>
      <c r="K274" s="8" t="str">
        <f>VLOOKUP(B274,archtypes!A:B,2,false)</f>
        <v>#N/A</v>
      </c>
      <c r="L274" s="8">
        <f t="shared" si="2"/>
        <v>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10"/>
      <c r="C275" s="11"/>
      <c r="D275" s="10"/>
      <c r="E275" s="9"/>
      <c r="F275" s="7" t="str">
        <f>iferror(VLOOKUP(B275,projections!A:B,2,false), "NOT ACTIVE")</f>
        <v>NOT ACTIVE</v>
      </c>
      <c r="G275" s="8" t="str">
        <f t="shared" si="1"/>
        <v>NOT ACTIVE</v>
      </c>
      <c r="H275" s="6" t="str">
        <f>iferror(VLOOKUP(B275,usage!A:B,2,false), "NOT ACTIVE")</f>
        <v>NOT ACTIVE</v>
      </c>
      <c r="I275" s="6" t="str">
        <f t="array" ref="I275">INDEX(DvP!$B$2:$F$31,MATCH($E275,DvP!$A$2:$A$31,0),MATCH($A275,DvP!$B$1:$F$1,0))</f>
        <v>#N/A</v>
      </c>
      <c r="J275" s="8" t="str">
        <f t="array" ref="J275">INDEX(DvA!$B$2:$I$31,MATCH($E275,DvA!$A$2:$A$31,0),MATCH($K275,DvA!$B$1:$I$1,0))</f>
        <v>#N/A</v>
      </c>
      <c r="K275" s="8" t="str">
        <f>VLOOKUP(B275,archtypes!A:B,2,false)</f>
        <v>#N/A</v>
      </c>
      <c r="L275" s="8">
        <f t="shared" si="2"/>
        <v>0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10"/>
      <c r="C276" s="11"/>
      <c r="D276" s="10"/>
      <c r="E276" s="9"/>
      <c r="F276" s="7" t="str">
        <f>iferror(VLOOKUP(B276,projections!A:B,2,false), "NOT ACTIVE")</f>
        <v>NOT ACTIVE</v>
      </c>
      <c r="G276" s="8" t="str">
        <f t="shared" si="1"/>
        <v>NOT ACTIVE</v>
      </c>
      <c r="H276" s="6" t="str">
        <f>iferror(VLOOKUP(B276,usage!A:B,2,false), "NOT ACTIVE")</f>
        <v>NOT ACTIVE</v>
      </c>
      <c r="I276" s="6" t="str">
        <f t="array" ref="I276">INDEX(DvP!$B$2:$F$31,MATCH($E276,DvP!$A$2:$A$31,0),MATCH($A276,DvP!$B$1:$F$1,0))</f>
        <v>#N/A</v>
      </c>
      <c r="J276" s="8" t="str">
        <f t="array" ref="J276">INDEX(DvA!$B$2:$I$31,MATCH($E276,DvA!$A$2:$A$31,0),MATCH($K276,DvA!$B$1:$I$1,0))</f>
        <v>#N/A</v>
      </c>
      <c r="K276" s="8" t="str">
        <f>VLOOKUP(B276,archtypes!A:B,2,false)</f>
        <v>#N/A</v>
      </c>
      <c r="L276" s="8">
        <f t="shared" si="2"/>
        <v>0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12"/>
      <c r="C277" s="11"/>
      <c r="D277" s="10"/>
      <c r="E277" s="9"/>
      <c r="F277" s="7" t="str">
        <f>iferror(VLOOKUP(B277,projections!A:B,2,false), "NOT ACTIVE")</f>
        <v>NOT ACTIVE</v>
      </c>
      <c r="G277" s="8" t="str">
        <f t="shared" si="1"/>
        <v>NOT ACTIVE</v>
      </c>
      <c r="H277" s="6" t="str">
        <f>iferror(VLOOKUP(B277,usage!A:B,2,false), "NOT ACTIVE")</f>
        <v>NOT ACTIVE</v>
      </c>
      <c r="I277" s="6" t="str">
        <f t="array" ref="I277">INDEX(DvP!$B$2:$F$31,MATCH($E277,DvP!$A$2:$A$31,0),MATCH($A277,DvP!$B$1:$F$1,0))</f>
        <v>#N/A</v>
      </c>
      <c r="J277" s="8" t="str">
        <f t="array" ref="J277">INDEX(DvA!$B$2:$I$31,MATCH($E277,DvA!$A$2:$A$31,0),MATCH($K277,DvA!$B$1:$I$1,0))</f>
        <v>#N/A</v>
      </c>
      <c r="K277" s="8" t="str">
        <f>VLOOKUP(B277,archtypes!A:B,2,false)</f>
        <v>#N/A</v>
      </c>
      <c r="L277" s="8">
        <f t="shared" si="2"/>
        <v>0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10"/>
      <c r="C278" s="11"/>
      <c r="D278" s="10"/>
      <c r="E278" s="9"/>
      <c r="F278" s="7" t="str">
        <f>iferror(VLOOKUP(B278,projections!A:B,2,false), "NOT ACTIVE")</f>
        <v>NOT ACTIVE</v>
      </c>
      <c r="G278" s="8" t="str">
        <f t="shared" si="1"/>
        <v>NOT ACTIVE</v>
      </c>
      <c r="H278" s="6" t="str">
        <f>iferror(VLOOKUP(B278,usage!A:B,2,false), "NOT ACTIVE")</f>
        <v>NOT ACTIVE</v>
      </c>
      <c r="I278" s="6" t="str">
        <f t="array" ref="I278">INDEX(DvP!$B$2:$F$31,MATCH($E278,DvP!$A$2:$A$31,0),MATCH($A278,DvP!$B$1:$F$1,0))</f>
        <v>#N/A</v>
      </c>
      <c r="J278" s="8" t="str">
        <f t="array" ref="J278">INDEX(DvA!$B$2:$I$31,MATCH($E278,DvA!$A$2:$A$31,0),MATCH($K278,DvA!$B$1:$I$1,0))</f>
        <v>#N/A</v>
      </c>
      <c r="K278" s="8" t="str">
        <f>VLOOKUP(B278,archtypes!A:B,2,false)</f>
        <v>#N/A</v>
      </c>
      <c r="L278" s="8">
        <f t="shared" si="2"/>
        <v>0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10"/>
      <c r="C279" s="11"/>
      <c r="D279" s="10"/>
      <c r="E279" s="9"/>
      <c r="F279" s="7" t="str">
        <f>iferror(VLOOKUP(B279,projections!A:B,2,false), "NOT ACTIVE")</f>
        <v>NOT ACTIVE</v>
      </c>
      <c r="G279" s="8" t="str">
        <f t="shared" si="1"/>
        <v>NOT ACTIVE</v>
      </c>
      <c r="H279" s="6" t="str">
        <f>iferror(VLOOKUP(B279,usage!A:B,2,false), "NOT ACTIVE")</f>
        <v>NOT ACTIVE</v>
      </c>
      <c r="I279" s="6" t="str">
        <f t="array" ref="I279">INDEX(DvP!$B$2:$F$31,MATCH($E279,DvP!$A$2:$A$31,0),MATCH($A279,DvP!$B$1:$F$1,0))</f>
        <v>#N/A</v>
      </c>
      <c r="J279" s="8" t="str">
        <f t="array" ref="J279">INDEX(DvA!$B$2:$I$31,MATCH($E279,DvA!$A$2:$A$31,0),MATCH($K279,DvA!$B$1:$I$1,0))</f>
        <v>#N/A</v>
      </c>
      <c r="K279" s="8" t="str">
        <f>VLOOKUP(B279,archtypes!A:B,2,false)</f>
        <v>#N/A</v>
      </c>
      <c r="L279" s="8">
        <f t="shared" si="2"/>
        <v>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12"/>
      <c r="C280" s="11"/>
      <c r="D280" s="10"/>
      <c r="E280" s="9"/>
      <c r="F280" s="7" t="str">
        <f>iferror(VLOOKUP(B280,projections!A:B,2,false), "NOT ACTIVE")</f>
        <v>NOT ACTIVE</v>
      </c>
      <c r="G280" s="8" t="str">
        <f t="shared" si="1"/>
        <v>NOT ACTIVE</v>
      </c>
      <c r="H280" s="6" t="str">
        <f>iferror(VLOOKUP(B280,usage!A:B,2,false), "NOT ACTIVE")</f>
        <v>NOT ACTIVE</v>
      </c>
      <c r="I280" s="6" t="str">
        <f t="array" ref="I280">INDEX(DvP!$B$2:$F$31,MATCH($E280,DvP!$A$2:$A$31,0),MATCH($A280,DvP!$B$1:$F$1,0))</f>
        <v>#N/A</v>
      </c>
      <c r="J280" s="8" t="str">
        <f t="array" ref="J280">INDEX(DvA!$B$2:$I$31,MATCH($E280,DvA!$A$2:$A$31,0),MATCH($K280,DvA!$B$1:$I$1,0))</f>
        <v>#N/A</v>
      </c>
      <c r="K280" s="8" t="str">
        <f>VLOOKUP(B280,archtypes!A:B,2,false)</f>
        <v>#N/A</v>
      </c>
      <c r="L280" s="8">
        <f t="shared" si="2"/>
        <v>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10"/>
      <c r="C281" s="11"/>
      <c r="D281" s="10"/>
      <c r="E281" s="9"/>
      <c r="F281" s="7" t="str">
        <f>iferror(VLOOKUP(B281,projections!A:B,2,false), "NOT ACTIVE")</f>
        <v>NOT ACTIVE</v>
      </c>
      <c r="G281" s="8" t="str">
        <f t="shared" si="1"/>
        <v>NOT ACTIVE</v>
      </c>
      <c r="H281" s="6" t="str">
        <f>iferror(VLOOKUP(B281,usage!A:B,2,false), "NOT ACTIVE")</f>
        <v>NOT ACTIVE</v>
      </c>
      <c r="I281" s="6" t="str">
        <f t="array" ref="I281">INDEX(DvP!$B$2:$F$31,MATCH($E281,DvP!$A$2:$A$31,0),MATCH($A281,DvP!$B$1:$F$1,0))</f>
        <v>#N/A</v>
      </c>
      <c r="J281" s="8" t="str">
        <f t="array" ref="J281">INDEX(DvA!$B$2:$I$31,MATCH($E281,DvA!$A$2:$A$31,0),MATCH($K281,DvA!$B$1:$I$1,0))</f>
        <v>#N/A</v>
      </c>
      <c r="K281" s="8" t="str">
        <f>VLOOKUP(B281,archtypes!A:B,2,false)</f>
        <v>#N/A</v>
      </c>
      <c r="L281" s="8">
        <f t="shared" si="2"/>
        <v>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10"/>
      <c r="C282" s="11"/>
      <c r="D282" s="10"/>
      <c r="E282" s="9"/>
      <c r="F282" s="7" t="str">
        <f>iferror(VLOOKUP(B282,projections!A:B,2,false), "NOT ACTIVE")</f>
        <v>NOT ACTIVE</v>
      </c>
      <c r="G282" s="8" t="str">
        <f t="shared" si="1"/>
        <v>NOT ACTIVE</v>
      </c>
      <c r="H282" s="6" t="str">
        <f>iferror(VLOOKUP(B282,usage!A:B,2,false), "NOT ACTIVE")</f>
        <v>NOT ACTIVE</v>
      </c>
      <c r="I282" s="6" t="str">
        <f t="array" ref="I282">INDEX(DvP!$B$2:$F$31,MATCH($E282,DvP!$A$2:$A$31,0),MATCH($A282,DvP!$B$1:$F$1,0))</f>
        <v>#N/A</v>
      </c>
      <c r="J282" s="8" t="str">
        <f t="array" ref="J282">INDEX(DvA!$B$2:$I$31,MATCH($E282,DvA!$A$2:$A$31,0),MATCH($K282,DvA!$B$1:$I$1,0))</f>
        <v>#N/A</v>
      </c>
      <c r="K282" s="8" t="str">
        <f>VLOOKUP(B282,archtypes!A:B,2,false)</f>
        <v>#N/A</v>
      </c>
      <c r="L282" s="8">
        <f t="shared" si="2"/>
        <v>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10"/>
      <c r="C283" s="11"/>
      <c r="D283" s="10"/>
      <c r="E283" s="9"/>
      <c r="F283" s="7" t="str">
        <f>iferror(VLOOKUP(B283,projections!A:B,2,false), "NOT ACTIVE")</f>
        <v>NOT ACTIVE</v>
      </c>
      <c r="G283" s="8" t="str">
        <f t="shared" si="1"/>
        <v>NOT ACTIVE</v>
      </c>
      <c r="H283" s="6" t="str">
        <f>iferror(VLOOKUP(B283,usage!A:B,2,false), "NOT ACTIVE")</f>
        <v>NOT ACTIVE</v>
      </c>
      <c r="I283" s="6" t="str">
        <f t="array" ref="I283">INDEX(DvP!$B$2:$F$31,MATCH($E283,DvP!$A$2:$A$31,0),MATCH($A283,DvP!$B$1:$F$1,0))</f>
        <v>#N/A</v>
      </c>
      <c r="J283" s="8" t="str">
        <f t="array" ref="J283">INDEX(DvA!$B$2:$I$31,MATCH($E283,DvA!$A$2:$A$31,0),MATCH($K283,DvA!$B$1:$I$1,0))</f>
        <v>#N/A</v>
      </c>
      <c r="K283" s="8" t="str">
        <f>VLOOKUP(B283,archtypes!A:B,2,false)</f>
        <v>#N/A</v>
      </c>
      <c r="L283" s="8">
        <f t="shared" si="2"/>
        <v>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10"/>
      <c r="C284" s="11"/>
      <c r="D284" s="10"/>
      <c r="E284" s="9"/>
      <c r="F284" s="7" t="str">
        <f>iferror(VLOOKUP(B284,projections!A:B,2,false), "NOT ACTIVE")</f>
        <v>NOT ACTIVE</v>
      </c>
      <c r="G284" s="8" t="str">
        <f t="shared" si="1"/>
        <v>NOT ACTIVE</v>
      </c>
      <c r="H284" s="6" t="str">
        <f>iferror(VLOOKUP(B284,usage!A:B,2,false), "NOT ACTIVE")</f>
        <v>NOT ACTIVE</v>
      </c>
      <c r="I284" s="6" t="str">
        <f t="array" ref="I284">INDEX(DvP!$B$2:$F$31,MATCH($E284,DvP!$A$2:$A$31,0),MATCH($A284,DvP!$B$1:$F$1,0))</f>
        <v>#N/A</v>
      </c>
      <c r="J284" s="8" t="str">
        <f t="array" ref="J284">INDEX(DvA!$B$2:$I$31,MATCH($E284,DvA!$A$2:$A$31,0),MATCH($K284,DvA!$B$1:$I$1,0))</f>
        <v>#N/A</v>
      </c>
      <c r="K284" s="8" t="str">
        <f>VLOOKUP(B284,archtypes!A:B,2,false)</f>
        <v>#N/A</v>
      </c>
      <c r="L284" s="8">
        <f t="shared" si="2"/>
        <v>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10"/>
      <c r="C285" s="11"/>
      <c r="D285" s="10"/>
      <c r="E285" s="9"/>
      <c r="F285" s="7" t="str">
        <f>iferror(VLOOKUP(B285,projections!A:B,2,false), "NOT ACTIVE")</f>
        <v>NOT ACTIVE</v>
      </c>
      <c r="G285" s="8" t="str">
        <f t="shared" si="1"/>
        <v>NOT ACTIVE</v>
      </c>
      <c r="H285" s="6" t="str">
        <f>iferror(VLOOKUP(B285,usage!A:B,2,false), "NOT ACTIVE")</f>
        <v>NOT ACTIVE</v>
      </c>
      <c r="I285" s="6" t="str">
        <f t="array" ref="I285">INDEX(DvP!$B$2:$F$31,MATCH($E285,DvP!$A$2:$A$31,0),MATCH($A285,DvP!$B$1:$F$1,0))</f>
        <v>#N/A</v>
      </c>
      <c r="J285" s="8" t="str">
        <f t="array" ref="J285">INDEX(DvA!$B$2:$I$31,MATCH($E285,DvA!$A$2:$A$31,0),MATCH($K285,DvA!$B$1:$I$1,0))</f>
        <v>#N/A</v>
      </c>
      <c r="K285" s="8" t="str">
        <f>VLOOKUP(B285,archtypes!A:B,2,false)</f>
        <v>#N/A</v>
      </c>
      <c r="L285" s="8">
        <f t="shared" si="2"/>
        <v>0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10"/>
      <c r="C286" s="11"/>
      <c r="D286" s="10"/>
      <c r="E286" s="9"/>
      <c r="F286" s="7" t="str">
        <f>iferror(VLOOKUP(B286,projections!A:B,2,false), "NOT ACTIVE")</f>
        <v>NOT ACTIVE</v>
      </c>
      <c r="G286" s="8" t="str">
        <f t="shared" si="1"/>
        <v>NOT ACTIVE</v>
      </c>
      <c r="H286" s="6" t="str">
        <f>iferror(VLOOKUP(B286,usage!A:B,2,false), "NOT ACTIVE")</f>
        <v>NOT ACTIVE</v>
      </c>
      <c r="I286" s="6" t="str">
        <f t="array" ref="I286">INDEX(DvP!$B$2:$F$31,MATCH($E286,DvP!$A$2:$A$31,0),MATCH($A286,DvP!$B$1:$F$1,0))</f>
        <v>#N/A</v>
      </c>
      <c r="J286" s="8" t="str">
        <f t="array" ref="J286">INDEX(DvA!$B$2:$I$31,MATCH($E286,DvA!$A$2:$A$31,0),MATCH($K286,DvA!$B$1:$I$1,0))</f>
        <v>#N/A</v>
      </c>
      <c r="K286" s="8" t="str">
        <f>VLOOKUP(B286,archtypes!A:B,2,false)</f>
        <v>#N/A</v>
      </c>
      <c r="L286" s="8">
        <f t="shared" si="2"/>
        <v>0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10"/>
      <c r="C287" s="11"/>
      <c r="D287" s="10"/>
      <c r="E287" s="9"/>
      <c r="F287" s="7" t="str">
        <f>iferror(VLOOKUP(B287,projections!A:B,2,false), "NOT ACTIVE")</f>
        <v>NOT ACTIVE</v>
      </c>
      <c r="G287" s="8" t="str">
        <f t="shared" si="1"/>
        <v>NOT ACTIVE</v>
      </c>
      <c r="H287" s="6" t="str">
        <f>iferror(VLOOKUP(B287,usage!A:B,2,false), "NOT ACTIVE")</f>
        <v>NOT ACTIVE</v>
      </c>
      <c r="I287" s="6" t="str">
        <f t="array" ref="I287">INDEX(DvP!$B$2:$F$31,MATCH($E287,DvP!$A$2:$A$31,0),MATCH($A287,DvP!$B$1:$F$1,0))</f>
        <v>#N/A</v>
      </c>
      <c r="J287" s="8" t="str">
        <f t="array" ref="J287">INDEX(DvA!$B$2:$I$31,MATCH($E287,DvA!$A$2:$A$31,0),MATCH($K287,DvA!$B$1:$I$1,0))</f>
        <v>#N/A</v>
      </c>
      <c r="K287" s="8" t="str">
        <f>VLOOKUP(B287,archtypes!A:B,2,false)</f>
        <v>#N/A</v>
      </c>
      <c r="L287" s="8">
        <f t="shared" si="2"/>
        <v>0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10"/>
      <c r="C288" s="11"/>
      <c r="D288" s="10"/>
      <c r="E288" s="9"/>
      <c r="F288" s="7" t="str">
        <f>iferror(VLOOKUP(B288,projections!A:B,2,false), "NOT ACTIVE")</f>
        <v>NOT ACTIVE</v>
      </c>
      <c r="G288" s="8" t="str">
        <f t="shared" si="1"/>
        <v>NOT ACTIVE</v>
      </c>
      <c r="H288" s="6" t="str">
        <f>iferror(VLOOKUP(B288,usage!A:B,2,false), "NOT ACTIVE")</f>
        <v>NOT ACTIVE</v>
      </c>
      <c r="I288" s="6" t="str">
        <f t="array" ref="I288">INDEX(DvP!$B$2:$F$31,MATCH($E288,DvP!$A$2:$A$31,0),MATCH($A288,DvP!$B$1:$F$1,0))</f>
        <v>#N/A</v>
      </c>
      <c r="J288" s="8" t="str">
        <f t="array" ref="J288">INDEX(DvA!$B$2:$I$31,MATCH($E288,DvA!$A$2:$A$31,0),MATCH($K288,DvA!$B$1:$I$1,0))</f>
        <v>#N/A</v>
      </c>
      <c r="K288" s="8" t="str">
        <f>VLOOKUP(B288,archtypes!A:B,2,false)</f>
        <v>#N/A</v>
      </c>
      <c r="L288" s="8">
        <f t="shared" si="2"/>
        <v>0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12"/>
      <c r="C289" s="11"/>
      <c r="D289" s="10"/>
      <c r="E289" s="9"/>
      <c r="F289" s="7" t="str">
        <f>iferror(VLOOKUP(B289,projections!A:B,2,false), "NOT ACTIVE")</f>
        <v>NOT ACTIVE</v>
      </c>
      <c r="G289" s="8" t="str">
        <f t="shared" si="1"/>
        <v>NOT ACTIVE</v>
      </c>
      <c r="H289" s="6" t="str">
        <f>iferror(VLOOKUP(B289,usage!A:B,2,false), "NOT ACTIVE")</f>
        <v>NOT ACTIVE</v>
      </c>
      <c r="I289" s="6" t="str">
        <f t="array" ref="I289">INDEX(DvP!$B$2:$F$31,MATCH($E289,DvP!$A$2:$A$31,0),MATCH($A289,DvP!$B$1:$F$1,0))</f>
        <v>#N/A</v>
      </c>
      <c r="J289" s="8" t="str">
        <f t="array" ref="J289">INDEX(DvA!$B$2:$I$31,MATCH($E289,DvA!$A$2:$A$31,0),MATCH($K289,DvA!$B$1:$I$1,0))</f>
        <v>#N/A</v>
      </c>
      <c r="K289" s="8" t="str">
        <f>VLOOKUP(B289,archtypes!A:B,2,false)</f>
        <v>#N/A</v>
      </c>
      <c r="L289" s="8">
        <f t="shared" si="2"/>
        <v>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12"/>
      <c r="C290" s="11"/>
      <c r="D290" s="10"/>
      <c r="E290" s="9"/>
      <c r="F290" s="7" t="str">
        <f>iferror(VLOOKUP(B290,projections!A:B,2,false), "NOT ACTIVE")</f>
        <v>NOT ACTIVE</v>
      </c>
      <c r="G290" s="8" t="str">
        <f t="shared" si="1"/>
        <v>NOT ACTIVE</v>
      </c>
      <c r="H290" s="6" t="str">
        <f>iferror(VLOOKUP(B290,usage!A:B,2,false), "NOT ACTIVE")</f>
        <v>NOT ACTIVE</v>
      </c>
      <c r="I290" s="6" t="str">
        <f t="array" ref="I290">INDEX(DvP!$B$2:$F$31,MATCH($E290,DvP!$A$2:$A$31,0),MATCH($A290,DvP!$B$1:$F$1,0))</f>
        <v>#N/A</v>
      </c>
      <c r="J290" s="8" t="str">
        <f t="array" ref="J290">INDEX(DvA!$B$2:$I$31,MATCH($E290,DvA!$A$2:$A$31,0),MATCH($K290,DvA!$B$1:$I$1,0))</f>
        <v>#N/A</v>
      </c>
      <c r="K290" s="8" t="str">
        <f>VLOOKUP(B290,archtypes!A:B,2,false)</f>
        <v>#N/A</v>
      </c>
      <c r="L290" s="8">
        <f t="shared" si="2"/>
        <v>0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10"/>
      <c r="C291" s="11"/>
      <c r="D291" s="10"/>
      <c r="E291" s="9"/>
      <c r="F291" s="7" t="str">
        <f>iferror(VLOOKUP(B291,projections!A:B,2,false), "NOT ACTIVE")</f>
        <v>NOT ACTIVE</v>
      </c>
      <c r="G291" s="8" t="str">
        <f t="shared" si="1"/>
        <v>NOT ACTIVE</v>
      </c>
      <c r="H291" s="6" t="str">
        <f>iferror(VLOOKUP(B291,usage!A:B,2,false), "NOT ACTIVE")</f>
        <v>NOT ACTIVE</v>
      </c>
      <c r="I291" s="6" t="str">
        <f t="array" ref="I291">INDEX(DvP!$B$2:$F$31,MATCH($E291,DvP!$A$2:$A$31,0),MATCH($A291,DvP!$B$1:$F$1,0))</f>
        <v>#N/A</v>
      </c>
      <c r="J291" s="8" t="str">
        <f t="array" ref="J291">INDEX(DvA!$B$2:$I$31,MATCH($E291,DvA!$A$2:$A$31,0),MATCH($K291,DvA!$B$1:$I$1,0))</f>
        <v>#N/A</v>
      </c>
      <c r="K291" s="8" t="str">
        <f>VLOOKUP(B291,archtypes!A:B,2,false)</f>
        <v>#N/A</v>
      </c>
      <c r="L291" s="8">
        <f t="shared" si="2"/>
        <v>0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10"/>
      <c r="C292" s="11"/>
      <c r="D292" s="10"/>
      <c r="E292" s="9"/>
      <c r="F292" s="7" t="str">
        <f>iferror(VLOOKUP(B292,projections!A:B,2,false), "NOT ACTIVE")</f>
        <v>NOT ACTIVE</v>
      </c>
      <c r="G292" s="8" t="str">
        <f t="shared" si="1"/>
        <v>NOT ACTIVE</v>
      </c>
      <c r="H292" s="6" t="str">
        <f>iferror(VLOOKUP(B292,usage!A:B,2,false), "NOT ACTIVE")</f>
        <v>NOT ACTIVE</v>
      </c>
      <c r="I292" s="6" t="str">
        <f t="array" ref="I292">INDEX(DvP!$B$2:$F$31,MATCH($E292,DvP!$A$2:$A$31,0),MATCH($A292,DvP!$B$1:$F$1,0))</f>
        <v>#N/A</v>
      </c>
      <c r="J292" s="8" t="str">
        <f t="array" ref="J292">INDEX(DvA!$B$2:$I$31,MATCH($E292,DvA!$A$2:$A$31,0),MATCH($K292,DvA!$B$1:$I$1,0))</f>
        <v>#N/A</v>
      </c>
      <c r="K292" s="8" t="str">
        <f>VLOOKUP(B292,archtypes!A:B,2,false)</f>
        <v>#N/A</v>
      </c>
      <c r="L292" s="8">
        <f t="shared" si="2"/>
        <v>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10"/>
      <c r="C293" s="11"/>
      <c r="D293" s="10"/>
      <c r="E293" s="9"/>
      <c r="F293" s="7" t="str">
        <f>iferror(VLOOKUP(B293,projections!A:B,2,false), "NOT ACTIVE")</f>
        <v>NOT ACTIVE</v>
      </c>
      <c r="G293" s="8" t="str">
        <f t="shared" si="1"/>
        <v>NOT ACTIVE</v>
      </c>
      <c r="H293" s="6" t="str">
        <f>iferror(VLOOKUP(B293,usage!A:B,2,false), "NOT ACTIVE")</f>
        <v>NOT ACTIVE</v>
      </c>
      <c r="I293" s="6" t="str">
        <f t="array" ref="I293">INDEX(DvP!$B$2:$F$31,MATCH($E293,DvP!$A$2:$A$31,0),MATCH($A293,DvP!$B$1:$F$1,0))</f>
        <v>#N/A</v>
      </c>
      <c r="J293" s="8" t="str">
        <f t="array" ref="J293">INDEX(DvA!$B$2:$I$31,MATCH($E293,DvA!$A$2:$A$31,0),MATCH($K293,DvA!$B$1:$I$1,0))</f>
        <v>#N/A</v>
      </c>
      <c r="K293" s="8" t="str">
        <f>VLOOKUP(B293,archtypes!A:B,2,false)</f>
        <v>#N/A</v>
      </c>
      <c r="L293" s="8">
        <f t="shared" si="2"/>
        <v>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10"/>
      <c r="C294" s="11"/>
      <c r="D294" s="10"/>
      <c r="E294" s="9"/>
      <c r="F294" s="7" t="str">
        <f>iferror(VLOOKUP(B294,projections!A:B,2,false), "NOT ACTIVE")</f>
        <v>NOT ACTIVE</v>
      </c>
      <c r="G294" s="8" t="str">
        <f t="shared" si="1"/>
        <v>NOT ACTIVE</v>
      </c>
      <c r="H294" s="6" t="str">
        <f>iferror(VLOOKUP(B294,usage!A:B,2,false), "NOT ACTIVE")</f>
        <v>NOT ACTIVE</v>
      </c>
      <c r="I294" s="6" t="str">
        <f t="array" ref="I294">INDEX(DvP!$B$2:$F$31,MATCH($E294,DvP!$A$2:$A$31,0),MATCH($A294,DvP!$B$1:$F$1,0))</f>
        <v>#N/A</v>
      </c>
      <c r="J294" s="8" t="str">
        <f t="array" ref="J294">INDEX(DvA!$B$2:$I$31,MATCH($E294,DvA!$A$2:$A$31,0),MATCH($K294,DvA!$B$1:$I$1,0))</f>
        <v>#N/A</v>
      </c>
      <c r="K294" s="8" t="str">
        <f>VLOOKUP(B294,archtypes!A:B,2,false)</f>
        <v>#N/A</v>
      </c>
      <c r="L294" s="8">
        <f t="shared" si="2"/>
        <v>0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10"/>
      <c r="C295" s="11"/>
      <c r="D295" s="10"/>
      <c r="E295" s="9"/>
      <c r="F295" s="7" t="str">
        <f>iferror(VLOOKUP(B295,projections!A:B,2,false), "NOT ACTIVE")</f>
        <v>NOT ACTIVE</v>
      </c>
      <c r="G295" s="8" t="str">
        <f t="shared" si="1"/>
        <v>NOT ACTIVE</v>
      </c>
      <c r="H295" s="6" t="str">
        <f>iferror(VLOOKUP(B295,usage!A:B,2,false), "NOT ACTIVE")</f>
        <v>NOT ACTIVE</v>
      </c>
      <c r="I295" s="6" t="str">
        <f t="array" ref="I295">INDEX(DvP!$B$2:$F$31,MATCH($E295,DvP!$A$2:$A$31,0),MATCH($A295,DvP!$B$1:$F$1,0))</f>
        <v>#N/A</v>
      </c>
      <c r="J295" s="8" t="str">
        <f t="array" ref="J295">INDEX(DvA!$B$2:$I$31,MATCH($E295,DvA!$A$2:$A$31,0),MATCH($K295,DvA!$B$1:$I$1,0))</f>
        <v>#N/A</v>
      </c>
      <c r="K295" s="8" t="str">
        <f>VLOOKUP(B295,archtypes!A:B,2,false)</f>
        <v>#N/A</v>
      </c>
      <c r="L295" s="8">
        <f t="shared" si="2"/>
        <v>0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10"/>
      <c r="C296" s="11"/>
      <c r="D296" s="10"/>
      <c r="E296" s="9"/>
      <c r="F296" s="7" t="str">
        <f>iferror(VLOOKUP(B296,projections!A:B,2,false), "NOT ACTIVE")</f>
        <v>NOT ACTIVE</v>
      </c>
      <c r="G296" s="8" t="str">
        <f t="shared" si="1"/>
        <v>NOT ACTIVE</v>
      </c>
      <c r="H296" s="6" t="str">
        <f>iferror(VLOOKUP(B296,usage!A:B,2,false), "NOT ACTIVE")</f>
        <v>NOT ACTIVE</v>
      </c>
      <c r="I296" s="6" t="str">
        <f t="array" ref="I296">INDEX(DvP!$B$2:$F$31,MATCH($E296,DvP!$A$2:$A$31,0),MATCH($A296,DvP!$B$1:$F$1,0))</f>
        <v>#N/A</v>
      </c>
      <c r="J296" s="8" t="str">
        <f t="array" ref="J296">INDEX(DvA!$B$2:$I$31,MATCH($E296,DvA!$A$2:$A$31,0),MATCH($K296,DvA!$B$1:$I$1,0))</f>
        <v>#N/A</v>
      </c>
      <c r="K296" s="8" t="str">
        <f>VLOOKUP(B296,archtypes!A:B,2,false)</f>
        <v>#N/A</v>
      </c>
      <c r="L296" s="8">
        <f t="shared" si="2"/>
        <v>0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10"/>
      <c r="C297" s="11"/>
      <c r="D297" s="10"/>
      <c r="E297" s="9"/>
      <c r="F297" s="7" t="str">
        <f>iferror(VLOOKUP(B297,projections!A:B,2,false), "NOT ACTIVE")</f>
        <v>NOT ACTIVE</v>
      </c>
      <c r="G297" s="8" t="str">
        <f t="shared" si="1"/>
        <v>NOT ACTIVE</v>
      </c>
      <c r="H297" s="6" t="str">
        <f>iferror(VLOOKUP(B297,usage!A:B,2,false), "NOT ACTIVE")</f>
        <v>NOT ACTIVE</v>
      </c>
      <c r="I297" s="6" t="str">
        <f t="array" ref="I297">INDEX(DvP!$B$2:$F$31,MATCH($E297,DvP!$A$2:$A$31,0),MATCH($A297,DvP!$B$1:$F$1,0))</f>
        <v>#N/A</v>
      </c>
      <c r="J297" s="8" t="str">
        <f t="array" ref="J297">INDEX(DvA!$B$2:$I$31,MATCH($E297,DvA!$A$2:$A$31,0),MATCH($K297,DvA!$B$1:$I$1,0))</f>
        <v>#N/A</v>
      </c>
      <c r="K297" s="8" t="str">
        <f>VLOOKUP(B297,archtypes!A:B,2,false)</f>
        <v>#N/A</v>
      </c>
      <c r="L297" s="8">
        <f t="shared" si="2"/>
        <v>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10"/>
      <c r="C298" s="11"/>
      <c r="D298" s="10"/>
      <c r="E298" s="9"/>
      <c r="F298" s="7" t="str">
        <f>iferror(VLOOKUP(B298,projections!A:B,2,false), "NOT ACTIVE")</f>
        <v>NOT ACTIVE</v>
      </c>
      <c r="G298" s="8" t="str">
        <f t="shared" si="1"/>
        <v>NOT ACTIVE</v>
      </c>
      <c r="H298" s="6" t="str">
        <f>iferror(VLOOKUP(B298,usage!A:B,2,false), "NOT ACTIVE")</f>
        <v>NOT ACTIVE</v>
      </c>
      <c r="I298" s="6" t="str">
        <f t="array" ref="I298">INDEX(DvP!$B$2:$F$31,MATCH($E298,DvP!$A$2:$A$31,0),MATCH($A298,DvP!$B$1:$F$1,0))</f>
        <v>#N/A</v>
      </c>
      <c r="J298" s="8" t="str">
        <f t="array" ref="J298">INDEX(DvA!$B$2:$I$31,MATCH($E298,DvA!$A$2:$A$31,0),MATCH($K298,DvA!$B$1:$I$1,0))</f>
        <v>#N/A</v>
      </c>
      <c r="K298" s="8" t="str">
        <f>VLOOKUP(B298,archtypes!A:B,2,false)</f>
        <v>#N/A</v>
      </c>
      <c r="L298" s="8">
        <f t="shared" si="2"/>
        <v>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10"/>
      <c r="C299" s="11"/>
      <c r="D299" s="10"/>
      <c r="E299" s="9"/>
      <c r="F299" s="7" t="str">
        <f>iferror(VLOOKUP(B299,projections!A:B,2,false), "NOT ACTIVE")</f>
        <v>NOT ACTIVE</v>
      </c>
      <c r="G299" s="8" t="str">
        <f t="shared" si="1"/>
        <v>NOT ACTIVE</v>
      </c>
      <c r="H299" s="6" t="str">
        <f>iferror(VLOOKUP(B299,usage!A:B,2,false), "NOT ACTIVE")</f>
        <v>NOT ACTIVE</v>
      </c>
      <c r="I299" s="6" t="str">
        <f t="array" ref="I299">INDEX(DvP!$B$2:$F$31,MATCH($E299,DvP!$A$2:$A$31,0),MATCH($A299,DvP!$B$1:$F$1,0))</f>
        <v>#N/A</v>
      </c>
      <c r="J299" s="8" t="str">
        <f t="array" ref="J299">INDEX(DvA!$B$2:$I$31,MATCH($E299,DvA!$A$2:$A$31,0),MATCH($K299,DvA!$B$1:$I$1,0))</f>
        <v>#N/A</v>
      </c>
      <c r="K299" s="8" t="str">
        <f>VLOOKUP(B299,archtypes!A:B,2,false)</f>
        <v>#N/A</v>
      </c>
      <c r="L299" s="8">
        <f t="shared" si="2"/>
        <v>0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10"/>
      <c r="C300" s="11"/>
      <c r="D300" s="10"/>
      <c r="E300" s="9"/>
      <c r="F300" s="7" t="str">
        <f>iferror(VLOOKUP(B300,projections!A:B,2,false), "NOT ACTIVE")</f>
        <v>NOT ACTIVE</v>
      </c>
      <c r="G300" s="8" t="str">
        <f t="shared" si="1"/>
        <v>NOT ACTIVE</v>
      </c>
      <c r="H300" s="6" t="str">
        <f>iferror(VLOOKUP(B300,usage!A:B,2,false), "NOT ACTIVE")</f>
        <v>NOT ACTIVE</v>
      </c>
      <c r="I300" s="6" t="str">
        <f t="array" ref="I300">INDEX(DvP!$B$2:$F$31,MATCH($E300,DvP!$A$2:$A$31,0),MATCH($A300,DvP!$B$1:$F$1,0))</f>
        <v>#N/A</v>
      </c>
      <c r="J300" s="8" t="str">
        <f t="array" ref="J300">INDEX(DvA!$B$2:$I$31,MATCH($E300,DvA!$A$2:$A$31,0),MATCH($K300,DvA!$B$1:$I$1,0))</f>
        <v>#N/A</v>
      </c>
      <c r="K300" s="8" t="str">
        <f>VLOOKUP(B300,archtypes!A:B,2,false)</f>
        <v>#N/A</v>
      </c>
      <c r="L300" s="8">
        <f t="shared" si="2"/>
        <v>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10"/>
      <c r="C301" s="11"/>
      <c r="D301" s="10"/>
      <c r="E301" s="9"/>
      <c r="F301" s="7" t="str">
        <f>iferror(VLOOKUP(B301,projections!A:B,2,false), "NOT ACTIVE")</f>
        <v>NOT ACTIVE</v>
      </c>
      <c r="G301" s="8" t="str">
        <f t="shared" si="1"/>
        <v>NOT ACTIVE</v>
      </c>
      <c r="H301" s="6" t="str">
        <f>iferror(VLOOKUP(B301,usage!A:B,2,false), "NOT ACTIVE")</f>
        <v>NOT ACTIVE</v>
      </c>
      <c r="I301" s="6" t="str">
        <f t="array" ref="I301">INDEX(DvP!$B$2:$F$31,MATCH($E301,DvP!$A$2:$A$31,0),MATCH($A301,DvP!$B$1:$F$1,0))</f>
        <v>#N/A</v>
      </c>
      <c r="J301" s="8" t="str">
        <f t="array" ref="J301">INDEX(DvA!$B$2:$I$31,MATCH($E301,DvA!$A$2:$A$31,0),MATCH($K301,DvA!$B$1:$I$1,0))</f>
        <v>#N/A</v>
      </c>
      <c r="K301" s="8" t="str">
        <f>VLOOKUP(B301,archtypes!A:B,2,false)</f>
        <v>#N/A</v>
      </c>
      <c r="L301" s="8">
        <f t="shared" si="2"/>
        <v>0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10"/>
      <c r="C302" s="11"/>
      <c r="D302" s="10"/>
      <c r="E302" s="9"/>
      <c r="F302" s="7" t="str">
        <f>iferror(VLOOKUP(B302,projections!A:B,2,false), "NOT ACTIVE")</f>
        <v>NOT ACTIVE</v>
      </c>
      <c r="G302" s="8" t="str">
        <f t="shared" si="1"/>
        <v>NOT ACTIVE</v>
      </c>
      <c r="H302" s="6" t="str">
        <f>iferror(VLOOKUP(B302,usage!A:B,2,false), "NOT ACTIVE")</f>
        <v>NOT ACTIVE</v>
      </c>
      <c r="I302" s="6" t="str">
        <f t="array" ref="I302">INDEX(DvP!$B$2:$F$31,MATCH($E302,DvP!$A$2:$A$31,0),MATCH($A302,DvP!$B$1:$F$1,0))</f>
        <v>#N/A</v>
      </c>
      <c r="J302" s="8" t="str">
        <f t="array" ref="J302">INDEX(DvA!$B$2:$I$31,MATCH($E302,DvA!$A$2:$A$31,0),MATCH($K302,DvA!$B$1:$I$1,0))</f>
        <v>#N/A</v>
      </c>
      <c r="K302" s="8" t="str">
        <f>VLOOKUP(B302,archtypes!A:B,2,false)</f>
        <v>#N/A</v>
      </c>
      <c r="L302" s="8">
        <f t="shared" si="2"/>
        <v>0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10"/>
      <c r="C303" s="11"/>
      <c r="D303" s="10"/>
      <c r="E303" s="9"/>
      <c r="F303" s="7" t="str">
        <f>iferror(VLOOKUP(B303,projections!A:B,2,false), "NOT ACTIVE")</f>
        <v>NOT ACTIVE</v>
      </c>
      <c r="G303" s="8" t="str">
        <f t="shared" si="1"/>
        <v>NOT ACTIVE</v>
      </c>
      <c r="H303" s="6" t="str">
        <f>iferror(VLOOKUP(B303,usage!A:B,2,false), "NOT ACTIVE")</f>
        <v>NOT ACTIVE</v>
      </c>
      <c r="I303" s="6" t="str">
        <f t="array" ref="I303">INDEX(DvP!$B$2:$F$31,MATCH($E303,DvP!$A$2:$A$31,0),MATCH($A303,DvP!$B$1:$F$1,0))</f>
        <v>#N/A</v>
      </c>
      <c r="J303" s="8" t="str">
        <f t="array" ref="J303">INDEX(DvA!$B$2:$I$31,MATCH($E303,DvA!$A$2:$A$31,0),MATCH($K303,DvA!$B$1:$I$1,0))</f>
        <v>#N/A</v>
      </c>
      <c r="K303" s="8" t="str">
        <f>VLOOKUP(B303,archtypes!A:B,2,false)</f>
        <v>#N/A</v>
      </c>
      <c r="L303" s="8">
        <f t="shared" si="2"/>
        <v>0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10"/>
      <c r="C304" s="11"/>
      <c r="D304" s="10"/>
      <c r="E304" s="9"/>
      <c r="F304" s="7" t="str">
        <f>iferror(VLOOKUP(B304,projections!A:B,2,false), "NOT ACTIVE")</f>
        <v>NOT ACTIVE</v>
      </c>
      <c r="G304" s="8" t="str">
        <f t="shared" si="1"/>
        <v>NOT ACTIVE</v>
      </c>
      <c r="H304" s="6" t="str">
        <f>iferror(VLOOKUP(B304,usage!A:B,2,false), "NOT ACTIVE")</f>
        <v>NOT ACTIVE</v>
      </c>
      <c r="I304" s="6" t="str">
        <f t="array" ref="I304">INDEX(DvP!$B$2:$F$31,MATCH($E304,DvP!$A$2:$A$31,0),MATCH($A304,DvP!$B$1:$F$1,0))</f>
        <v>#N/A</v>
      </c>
      <c r="J304" s="8" t="str">
        <f t="array" ref="J304">INDEX(DvA!$B$2:$I$31,MATCH($E304,DvA!$A$2:$A$31,0),MATCH($K304,DvA!$B$1:$I$1,0))</f>
        <v>#N/A</v>
      </c>
      <c r="K304" s="8" t="str">
        <f>VLOOKUP(B304,archtypes!A:B,2,false)</f>
        <v>#N/A</v>
      </c>
      <c r="L304" s="8">
        <f t="shared" si="2"/>
        <v>0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10"/>
      <c r="C305" s="11"/>
      <c r="D305" s="10"/>
      <c r="E305" s="9"/>
      <c r="F305" s="7" t="str">
        <f>iferror(VLOOKUP(B305,projections!A:B,2,false), "NOT ACTIVE")</f>
        <v>NOT ACTIVE</v>
      </c>
      <c r="G305" s="8" t="str">
        <f t="shared" si="1"/>
        <v>NOT ACTIVE</v>
      </c>
      <c r="H305" s="6" t="str">
        <f>iferror(VLOOKUP(B305,usage!A:B,2,false), "NOT ACTIVE")</f>
        <v>NOT ACTIVE</v>
      </c>
      <c r="I305" s="6" t="str">
        <f t="array" ref="I305">INDEX(DvP!$B$2:$F$31,MATCH($E305,DvP!$A$2:$A$31,0),MATCH($A305,DvP!$B$1:$F$1,0))</f>
        <v>#N/A</v>
      </c>
      <c r="J305" s="8" t="str">
        <f t="array" ref="J305">INDEX(DvA!$B$2:$I$31,MATCH($E305,DvA!$A$2:$A$31,0),MATCH($K305,DvA!$B$1:$I$1,0))</f>
        <v>#N/A</v>
      </c>
      <c r="K305" s="8" t="str">
        <f>VLOOKUP(B305,archtypes!A:B,2,false)</f>
        <v>#N/A</v>
      </c>
      <c r="L305" s="8">
        <f t="shared" si="2"/>
        <v>0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10"/>
      <c r="C306" s="11"/>
      <c r="D306" s="10"/>
      <c r="E306" s="9"/>
      <c r="F306" s="7" t="str">
        <f>iferror(VLOOKUP(B306,projections!A:B,2,false), "NOT ACTIVE")</f>
        <v>NOT ACTIVE</v>
      </c>
      <c r="G306" s="8" t="str">
        <f t="shared" si="1"/>
        <v>NOT ACTIVE</v>
      </c>
      <c r="H306" s="6" t="str">
        <f>iferror(VLOOKUP(B306,usage!A:B,2,false), "NOT ACTIVE")</f>
        <v>NOT ACTIVE</v>
      </c>
      <c r="I306" s="6" t="str">
        <f t="array" ref="I306">INDEX(DvP!$B$2:$F$31,MATCH($E306,DvP!$A$2:$A$31,0),MATCH($A306,DvP!$B$1:$F$1,0))</f>
        <v>#N/A</v>
      </c>
      <c r="J306" s="8" t="str">
        <f t="array" ref="J306">INDEX(DvA!$B$2:$I$31,MATCH($E306,DvA!$A$2:$A$31,0),MATCH($K306,DvA!$B$1:$I$1,0))</f>
        <v>#N/A</v>
      </c>
      <c r="K306" s="8" t="str">
        <f>VLOOKUP(B306,archtypes!A:B,2,false)</f>
        <v>#N/A</v>
      </c>
      <c r="L306" s="8">
        <f t="shared" si="2"/>
        <v>0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10"/>
      <c r="C307" s="11"/>
      <c r="D307" s="10"/>
      <c r="E307" s="9"/>
      <c r="F307" s="7" t="str">
        <f>iferror(VLOOKUP(B307,projections!A:B,2,false), "NOT ACTIVE")</f>
        <v>NOT ACTIVE</v>
      </c>
      <c r="G307" s="8" t="str">
        <f t="shared" si="1"/>
        <v>NOT ACTIVE</v>
      </c>
      <c r="H307" s="6" t="str">
        <f>iferror(VLOOKUP(B307,usage!A:B,2,false), "NOT ACTIVE")</f>
        <v>NOT ACTIVE</v>
      </c>
      <c r="I307" s="6" t="str">
        <f t="array" ref="I307">INDEX(DvP!$B$2:$F$31,MATCH($E307,DvP!$A$2:$A$31,0),MATCH($A307,DvP!$B$1:$F$1,0))</f>
        <v>#N/A</v>
      </c>
      <c r="J307" s="8" t="str">
        <f t="array" ref="J307">INDEX(DvA!$B$2:$I$31,MATCH($E307,DvA!$A$2:$A$31,0),MATCH($K307,DvA!$B$1:$I$1,0))</f>
        <v>#N/A</v>
      </c>
      <c r="K307" s="8" t="str">
        <f>VLOOKUP(B307,archtypes!A:B,2,false)</f>
        <v>#N/A</v>
      </c>
      <c r="L307" s="8">
        <f t="shared" si="2"/>
        <v>0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10"/>
      <c r="C308" s="11"/>
      <c r="D308" s="10"/>
      <c r="E308" s="9"/>
      <c r="F308" s="7" t="str">
        <f>iferror(VLOOKUP(B308,projections!A:B,2,false), "NOT ACTIVE")</f>
        <v>NOT ACTIVE</v>
      </c>
      <c r="G308" s="8" t="str">
        <f t="shared" si="1"/>
        <v>NOT ACTIVE</v>
      </c>
      <c r="H308" s="6" t="str">
        <f>iferror(VLOOKUP(B308,usage!A:B,2,false), "NOT ACTIVE")</f>
        <v>NOT ACTIVE</v>
      </c>
      <c r="I308" s="6" t="str">
        <f t="array" ref="I308">INDEX(DvP!$B$2:$F$31,MATCH($E308,DvP!$A$2:$A$31,0),MATCH($A308,DvP!$B$1:$F$1,0))</f>
        <v>#N/A</v>
      </c>
      <c r="J308" s="8" t="str">
        <f t="array" ref="J308">INDEX(DvA!$B$2:$I$31,MATCH($E308,DvA!$A$2:$A$31,0),MATCH($K308,DvA!$B$1:$I$1,0))</f>
        <v>#N/A</v>
      </c>
      <c r="K308" s="8" t="str">
        <f>VLOOKUP(B308,archtypes!A:B,2,false)</f>
        <v>#N/A</v>
      </c>
      <c r="L308" s="8">
        <f t="shared" si="2"/>
        <v>0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10"/>
      <c r="C309" s="11"/>
      <c r="D309" s="10"/>
      <c r="E309" s="9"/>
      <c r="F309" s="7" t="str">
        <f>iferror(VLOOKUP(B309,projections!A:B,2,false), "NOT ACTIVE")</f>
        <v>NOT ACTIVE</v>
      </c>
      <c r="G309" s="8" t="str">
        <f t="shared" si="1"/>
        <v>NOT ACTIVE</v>
      </c>
      <c r="H309" s="6" t="str">
        <f>iferror(VLOOKUP(B309,usage!A:B,2,false), "NOT ACTIVE")</f>
        <v>NOT ACTIVE</v>
      </c>
      <c r="I309" s="6" t="str">
        <f t="array" ref="I309">INDEX(DvP!$B$2:$F$31,MATCH($E309,DvP!$A$2:$A$31,0),MATCH($A309,DvP!$B$1:$F$1,0))</f>
        <v>#N/A</v>
      </c>
      <c r="J309" s="8" t="str">
        <f t="array" ref="J309">INDEX(DvA!$B$2:$I$31,MATCH($E309,DvA!$A$2:$A$31,0),MATCH($K309,DvA!$B$1:$I$1,0))</f>
        <v>#N/A</v>
      </c>
      <c r="K309" s="8" t="str">
        <f>VLOOKUP(B309,archtypes!A:B,2,false)</f>
        <v>#N/A</v>
      </c>
      <c r="L309" s="8">
        <f t="shared" si="2"/>
        <v>0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10"/>
      <c r="C310" s="11"/>
      <c r="D310" s="10"/>
      <c r="E310" s="9"/>
      <c r="F310" s="7" t="str">
        <f>iferror(VLOOKUP(B310,projections!A:B,2,false), "NOT ACTIVE")</f>
        <v>NOT ACTIVE</v>
      </c>
      <c r="G310" s="8" t="str">
        <f t="shared" si="1"/>
        <v>NOT ACTIVE</v>
      </c>
      <c r="H310" s="6" t="str">
        <f>iferror(VLOOKUP(B310,usage!A:B,2,false), "NOT ACTIVE")</f>
        <v>NOT ACTIVE</v>
      </c>
      <c r="I310" s="6" t="str">
        <f t="array" ref="I310">INDEX(DvP!$B$2:$F$31,MATCH($E310,DvP!$A$2:$A$31,0),MATCH($A310,DvP!$B$1:$F$1,0))</f>
        <v>#N/A</v>
      </c>
      <c r="J310" s="8" t="str">
        <f t="array" ref="J310">INDEX(DvA!$B$2:$I$31,MATCH($E310,DvA!$A$2:$A$31,0),MATCH($K310,DvA!$B$1:$I$1,0))</f>
        <v>#N/A</v>
      </c>
      <c r="K310" s="8" t="str">
        <f>VLOOKUP(B310,archtypes!A:B,2,false)</f>
        <v>#N/A</v>
      </c>
      <c r="L310" s="8">
        <f t="shared" si="2"/>
        <v>0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10"/>
      <c r="C311" s="11"/>
      <c r="D311" s="10"/>
      <c r="E311" s="9"/>
      <c r="F311" s="7" t="str">
        <f>iferror(VLOOKUP(B311,projections!A:B,2,false), "NOT ACTIVE")</f>
        <v>NOT ACTIVE</v>
      </c>
      <c r="G311" s="8" t="str">
        <f t="shared" si="1"/>
        <v>NOT ACTIVE</v>
      </c>
      <c r="H311" s="6" t="str">
        <f>iferror(VLOOKUP(B311,usage!A:B,2,false), "NOT ACTIVE")</f>
        <v>NOT ACTIVE</v>
      </c>
      <c r="I311" s="6" t="str">
        <f t="array" ref="I311">INDEX(DvP!$B$2:$F$31,MATCH($E311,DvP!$A$2:$A$31,0),MATCH($A311,DvP!$B$1:$F$1,0))</f>
        <v>#N/A</v>
      </c>
      <c r="J311" s="8" t="str">
        <f t="array" ref="J311">INDEX(DvA!$B$2:$I$31,MATCH($E311,DvA!$A$2:$A$31,0),MATCH($K311,DvA!$B$1:$I$1,0))</f>
        <v>#N/A</v>
      </c>
      <c r="K311" s="8" t="str">
        <f>VLOOKUP(B311,archtypes!A:B,2,false)</f>
        <v>#N/A</v>
      </c>
      <c r="L311" s="8">
        <f t="shared" si="2"/>
        <v>0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10"/>
      <c r="C312" s="11"/>
      <c r="D312" s="10"/>
      <c r="E312" s="9"/>
      <c r="F312" s="7" t="str">
        <f>iferror(VLOOKUP(B312,projections!A:B,2,false), "NOT ACTIVE")</f>
        <v>NOT ACTIVE</v>
      </c>
      <c r="G312" s="8" t="str">
        <f t="shared" si="1"/>
        <v>NOT ACTIVE</v>
      </c>
      <c r="H312" s="6" t="str">
        <f>iferror(VLOOKUP(B312,usage!A:B,2,false), "NOT ACTIVE")</f>
        <v>NOT ACTIVE</v>
      </c>
      <c r="I312" s="6" t="str">
        <f t="array" ref="I312">INDEX(DvP!$B$2:$F$31,MATCH($E312,DvP!$A$2:$A$31,0),MATCH($A312,DvP!$B$1:$F$1,0))</f>
        <v>#N/A</v>
      </c>
      <c r="J312" s="8" t="str">
        <f t="array" ref="J312">INDEX(DvA!$B$2:$I$31,MATCH($E312,DvA!$A$2:$A$31,0),MATCH($K312,DvA!$B$1:$I$1,0))</f>
        <v>#N/A</v>
      </c>
      <c r="K312" s="8" t="str">
        <f>VLOOKUP(B312,archtypes!A:B,2,false)</f>
        <v>#N/A</v>
      </c>
      <c r="L312" s="8">
        <f t="shared" si="2"/>
        <v>0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10"/>
      <c r="C313" s="11"/>
      <c r="D313" s="10"/>
      <c r="E313" s="9"/>
      <c r="F313" s="7" t="str">
        <f>iferror(VLOOKUP(B313,projections!A:B,2,false), "NOT ACTIVE")</f>
        <v>NOT ACTIVE</v>
      </c>
      <c r="G313" s="8" t="str">
        <f t="shared" si="1"/>
        <v>NOT ACTIVE</v>
      </c>
      <c r="H313" s="6" t="str">
        <f>iferror(VLOOKUP(B313,usage!A:B,2,false), "NOT ACTIVE")</f>
        <v>NOT ACTIVE</v>
      </c>
      <c r="I313" s="6" t="str">
        <f t="array" ref="I313">INDEX(DvP!$B$2:$F$31,MATCH($E313,DvP!$A$2:$A$31,0),MATCH($A313,DvP!$B$1:$F$1,0))</f>
        <v>#N/A</v>
      </c>
      <c r="J313" s="8" t="str">
        <f t="array" ref="J313">INDEX(DvA!$B$2:$I$31,MATCH($E313,DvA!$A$2:$A$31,0),MATCH($K313,DvA!$B$1:$I$1,0))</f>
        <v>#N/A</v>
      </c>
      <c r="K313" s="8" t="str">
        <f>VLOOKUP(B313,archtypes!A:B,2,false)</f>
        <v>#N/A</v>
      </c>
      <c r="L313" s="8">
        <f t="shared" si="2"/>
        <v>0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10"/>
      <c r="C314" s="11"/>
      <c r="D314" s="10"/>
      <c r="E314" s="9"/>
      <c r="F314" s="7" t="str">
        <f>iferror(VLOOKUP(B314,projections!A:B,2,false), "NOT ACTIVE")</f>
        <v>NOT ACTIVE</v>
      </c>
      <c r="G314" s="8" t="str">
        <f t="shared" si="1"/>
        <v>NOT ACTIVE</v>
      </c>
      <c r="H314" s="6" t="str">
        <f>iferror(VLOOKUP(B314,usage!A:B,2,false), "NOT ACTIVE")</f>
        <v>NOT ACTIVE</v>
      </c>
      <c r="I314" s="6" t="str">
        <f t="array" ref="I314">INDEX(DvP!$B$2:$F$31,MATCH($E314,DvP!$A$2:$A$31,0),MATCH($A314,DvP!$B$1:$F$1,0))</f>
        <v>#N/A</v>
      </c>
      <c r="J314" s="8" t="str">
        <f t="array" ref="J314">INDEX(DvA!$B$2:$I$31,MATCH($E314,DvA!$A$2:$A$31,0),MATCH($K314,DvA!$B$1:$I$1,0))</f>
        <v>#N/A</v>
      </c>
      <c r="K314" s="8" t="str">
        <f>VLOOKUP(B314,archtypes!A:B,2,false)</f>
        <v>#N/A</v>
      </c>
      <c r="L314" s="8">
        <f t="shared" si="2"/>
        <v>0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10"/>
      <c r="C315" s="11"/>
      <c r="D315" s="10"/>
      <c r="E315" s="9"/>
      <c r="F315" s="7" t="str">
        <f>iferror(VLOOKUP(B315,projections!A:B,2,false), "NOT ACTIVE")</f>
        <v>NOT ACTIVE</v>
      </c>
      <c r="G315" s="8" t="str">
        <f t="shared" si="1"/>
        <v>NOT ACTIVE</v>
      </c>
      <c r="H315" s="6" t="str">
        <f>iferror(VLOOKUP(B315,usage!A:B,2,false), "NOT ACTIVE")</f>
        <v>NOT ACTIVE</v>
      </c>
      <c r="I315" s="6" t="str">
        <f t="array" ref="I315">INDEX(DvP!$B$2:$F$31,MATCH($E315,DvP!$A$2:$A$31,0),MATCH($A315,DvP!$B$1:$F$1,0))</f>
        <v>#N/A</v>
      </c>
      <c r="J315" s="8" t="str">
        <f t="array" ref="J315">INDEX(DvA!$B$2:$I$31,MATCH($E315,DvA!$A$2:$A$31,0),MATCH($K315,DvA!$B$1:$I$1,0))</f>
        <v>#N/A</v>
      </c>
      <c r="K315" s="8" t="str">
        <f>VLOOKUP(B315,archtypes!A:B,2,false)</f>
        <v>#N/A</v>
      </c>
      <c r="L315" s="8">
        <f t="shared" si="2"/>
        <v>0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10"/>
      <c r="C316" s="11"/>
      <c r="D316" s="10"/>
      <c r="E316" s="9"/>
      <c r="F316" s="7" t="str">
        <f>iferror(VLOOKUP(B316,projections!A:B,2,false), "NOT ACTIVE")</f>
        <v>NOT ACTIVE</v>
      </c>
      <c r="G316" s="8" t="str">
        <f t="shared" si="1"/>
        <v>NOT ACTIVE</v>
      </c>
      <c r="H316" s="6" t="str">
        <f>iferror(VLOOKUP(B316,usage!A:B,2,false), "NOT ACTIVE")</f>
        <v>NOT ACTIVE</v>
      </c>
      <c r="I316" s="6" t="str">
        <f t="array" ref="I316">INDEX(DvP!$B$2:$F$31,MATCH($E316,DvP!$A$2:$A$31,0),MATCH($A316,DvP!$B$1:$F$1,0))</f>
        <v>#N/A</v>
      </c>
      <c r="J316" s="8" t="str">
        <f t="array" ref="J316">INDEX(DvA!$B$2:$I$31,MATCH($E316,DvA!$A$2:$A$31,0),MATCH($K316,DvA!$B$1:$I$1,0))</f>
        <v>#N/A</v>
      </c>
      <c r="K316" s="8" t="str">
        <f>VLOOKUP(B316,archtypes!A:B,2,false)</f>
        <v>#N/A</v>
      </c>
      <c r="L316" s="8">
        <f t="shared" si="2"/>
        <v>0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10"/>
      <c r="C317" s="11"/>
      <c r="D317" s="10"/>
      <c r="E317" s="9"/>
      <c r="F317" s="7" t="str">
        <f>iferror(VLOOKUP(B317,projections!A:B,2,false), "NOT ACTIVE")</f>
        <v>NOT ACTIVE</v>
      </c>
      <c r="G317" s="8" t="str">
        <f t="shared" si="1"/>
        <v>NOT ACTIVE</v>
      </c>
      <c r="H317" s="6" t="str">
        <f>iferror(VLOOKUP(B317,usage!A:B,2,false), "NOT ACTIVE")</f>
        <v>NOT ACTIVE</v>
      </c>
      <c r="I317" s="6" t="str">
        <f t="array" ref="I317">INDEX(DvP!$B$2:$F$31,MATCH($E317,DvP!$A$2:$A$31,0),MATCH($A317,DvP!$B$1:$F$1,0))</f>
        <v>#N/A</v>
      </c>
      <c r="J317" s="8" t="str">
        <f t="array" ref="J317">INDEX(DvA!$B$2:$I$31,MATCH($E317,DvA!$A$2:$A$31,0),MATCH($K317,DvA!$B$1:$I$1,0))</f>
        <v>#N/A</v>
      </c>
      <c r="K317" s="8" t="str">
        <f>VLOOKUP(B317,archtypes!A:B,2,false)</f>
        <v>#N/A</v>
      </c>
      <c r="L317" s="8">
        <f t="shared" si="2"/>
        <v>0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10"/>
      <c r="C318" s="11"/>
      <c r="D318" s="10"/>
      <c r="E318" s="9"/>
      <c r="F318" s="7" t="str">
        <f>iferror(VLOOKUP(B318,projections!A:B,2,false), "NOT ACTIVE")</f>
        <v>NOT ACTIVE</v>
      </c>
      <c r="G318" s="8" t="str">
        <f t="shared" si="1"/>
        <v>NOT ACTIVE</v>
      </c>
      <c r="H318" s="6" t="str">
        <f>iferror(VLOOKUP(B318,usage!A:B,2,false), "NOT ACTIVE")</f>
        <v>NOT ACTIVE</v>
      </c>
      <c r="I318" s="6" t="str">
        <f t="array" ref="I318">INDEX(DvP!$B$2:$F$31,MATCH($E318,DvP!$A$2:$A$31,0),MATCH($A318,DvP!$B$1:$F$1,0))</f>
        <v>#N/A</v>
      </c>
      <c r="J318" s="8" t="str">
        <f t="array" ref="J318">INDEX(DvA!$B$2:$I$31,MATCH($E318,DvA!$A$2:$A$31,0),MATCH($K318,DvA!$B$1:$I$1,0))</f>
        <v>#N/A</v>
      </c>
      <c r="K318" s="8" t="str">
        <f>VLOOKUP(B318,archtypes!A:B,2,false)</f>
        <v>#N/A</v>
      </c>
      <c r="L318" s="8">
        <f t="shared" si="2"/>
        <v>0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10"/>
      <c r="C319" s="11"/>
      <c r="D319" s="10"/>
      <c r="E319" s="9"/>
      <c r="F319" s="7" t="str">
        <f>iferror(VLOOKUP(B319,projections!A:B,2,false), "NOT ACTIVE")</f>
        <v>NOT ACTIVE</v>
      </c>
      <c r="G319" s="8" t="str">
        <f t="shared" si="1"/>
        <v>NOT ACTIVE</v>
      </c>
      <c r="H319" s="6" t="str">
        <f>iferror(VLOOKUP(B319,usage!A:B,2,false), "NOT ACTIVE")</f>
        <v>NOT ACTIVE</v>
      </c>
      <c r="I319" s="6" t="str">
        <f t="array" ref="I319">INDEX(DvP!$B$2:$F$31,MATCH($E319,DvP!$A$2:$A$31,0),MATCH($A319,DvP!$B$1:$F$1,0))</f>
        <v>#N/A</v>
      </c>
      <c r="J319" s="8" t="str">
        <f t="array" ref="J319">INDEX(DvA!$B$2:$I$31,MATCH($E319,DvA!$A$2:$A$31,0),MATCH($K319,DvA!$B$1:$I$1,0))</f>
        <v>#N/A</v>
      </c>
      <c r="K319" s="8" t="str">
        <f>VLOOKUP(B319,archtypes!A:B,2,false)</f>
        <v>#N/A</v>
      </c>
      <c r="L319" s="8">
        <f t="shared" si="2"/>
        <v>0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12"/>
      <c r="C320" s="11"/>
      <c r="D320" s="10"/>
      <c r="E320" s="9"/>
      <c r="F320" s="7" t="str">
        <f>iferror(VLOOKUP(B320,projections!A:B,2,false), "NOT ACTIVE")</f>
        <v>NOT ACTIVE</v>
      </c>
      <c r="G320" s="8" t="str">
        <f t="shared" si="1"/>
        <v>NOT ACTIVE</v>
      </c>
      <c r="H320" s="6" t="str">
        <f>iferror(VLOOKUP(B320,usage!A:B,2,false), "NOT ACTIVE")</f>
        <v>NOT ACTIVE</v>
      </c>
      <c r="I320" s="6" t="str">
        <f t="array" ref="I320">INDEX(DvP!$B$2:$F$31,MATCH($E320,DvP!$A$2:$A$31,0),MATCH($A320,DvP!$B$1:$F$1,0))</f>
        <v>#N/A</v>
      </c>
      <c r="J320" s="8" t="str">
        <f t="array" ref="J320">INDEX(DvA!$B$2:$I$31,MATCH($E320,DvA!$A$2:$A$31,0),MATCH($K320,DvA!$B$1:$I$1,0))</f>
        <v>#N/A</v>
      </c>
      <c r="K320" s="8" t="str">
        <f>VLOOKUP(B320,archtypes!A:B,2,false)</f>
        <v>#N/A</v>
      </c>
      <c r="L320" s="8">
        <f t="shared" si="2"/>
        <v>0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10"/>
      <c r="C321" s="11"/>
      <c r="D321" s="10"/>
      <c r="E321" s="9"/>
      <c r="F321" s="7" t="str">
        <f>iferror(VLOOKUP(B321,projections!A:B,2,false), "NOT ACTIVE")</f>
        <v>NOT ACTIVE</v>
      </c>
      <c r="G321" s="8" t="str">
        <f t="shared" si="1"/>
        <v>NOT ACTIVE</v>
      </c>
      <c r="H321" s="6" t="str">
        <f>iferror(VLOOKUP(B321,usage!A:B,2,false), "NOT ACTIVE")</f>
        <v>NOT ACTIVE</v>
      </c>
      <c r="I321" s="6" t="str">
        <f t="array" ref="I321">INDEX(DvP!$B$2:$F$31,MATCH($E321,DvP!$A$2:$A$31,0),MATCH($A321,DvP!$B$1:$F$1,0))</f>
        <v>#N/A</v>
      </c>
      <c r="J321" s="8" t="str">
        <f t="array" ref="J321">INDEX(DvA!$B$2:$I$31,MATCH($E321,DvA!$A$2:$A$31,0),MATCH($K321,DvA!$B$1:$I$1,0))</f>
        <v>#N/A</v>
      </c>
      <c r="K321" s="8" t="str">
        <f>VLOOKUP(B321,archtypes!A:B,2,false)</f>
        <v>#N/A</v>
      </c>
      <c r="L321" s="8">
        <f t="shared" si="2"/>
        <v>0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10"/>
      <c r="C322" s="11"/>
      <c r="D322" s="10"/>
      <c r="E322" s="9"/>
      <c r="F322" s="7" t="str">
        <f>iferror(VLOOKUP(B322,projections!A:B,2,false), "NOT ACTIVE")</f>
        <v>NOT ACTIVE</v>
      </c>
      <c r="G322" s="8" t="str">
        <f t="shared" si="1"/>
        <v>NOT ACTIVE</v>
      </c>
      <c r="H322" s="6" t="str">
        <f>iferror(VLOOKUP(B322,usage!A:B,2,false), "NOT ACTIVE")</f>
        <v>NOT ACTIVE</v>
      </c>
      <c r="I322" s="6" t="str">
        <f t="array" ref="I322">INDEX(DvP!$B$2:$F$31,MATCH($E322,DvP!$A$2:$A$31,0),MATCH($A322,DvP!$B$1:$F$1,0))</f>
        <v>#N/A</v>
      </c>
      <c r="J322" s="8" t="str">
        <f t="array" ref="J322">INDEX(DvA!$B$2:$I$31,MATCH($E322,DvA!$A$2:$A$31,0),MATCH($K322,DvA!$B$1:$I$1,0))</f>
        <v>#N/A</v>
      </c>
      <c r="K322" s="8" t="str">
        <f>VLOOKUP(B322,archtypes!A:B,2,false)</f>
        <v>#N/A</v>
      </c>
      <c r="L322" s="8">
        <f t="shared" si="2"/>
        <v>0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12"/>
      <c r="C323" s="11"/>
      <c r="D323" s="10"/>
      <c r="E323" s="9"/>
      <c r="F323" s="7" t="str">
        <f>iferror(VLOOKUP(B323,projections!A:B,2,false), "NOT ACTIVE")</f>
        <v>NOT ACTIVE</v>
      </c>
      <c r="G323" s="8" t="str">
        <f t="shared" si="1"/>
        <v>NOT ACTIVE</v>
      </c>
      <c r="H323" s="6" t="str">
        <f>iferror(VLOOKUP(B323,usage!A:B,2,false), "NOT ACTIVE")</f>
        <v>NOT ACTIVE</v>
      </c>
      <c r="I323" s="6" t="str">
        <f t="array" ref="I323">INDEX(DvP!$B$2:$F$31,MATCH($E323,DvP!$A$2:$A$31,0),MATCH($A323,DvP!$B$1:$F$1,0))</f>
        <v>#N/A</v>
      </c>
      <c r="J323" s="8" t="str">
        <f t="array" ref="J323">INDEX(DvA!$B$2:$I$31,MATCH($E323,DvA!$A$2:$A$31,0),MATCH($K323,DvA!$B$1:$I$1,0))</f>
        <v>#N/A</v>
      </c>
      <c r="K323" s="8" t="str">
        <f>VLOOKUP(B323,archtypes!A:B,2,false)</f>
        <v>#N/A</v>
      </c>
      <c r="L323" s="8">
        <f t="shared" si="2"/>
        <v>0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10"/>
      <c r="C324" s="11"/>
      <c r="D324" s="10"/>
      <c r="E324" s="9"/>
      <c r="F324" s="7" t="str">
        <f>iferror(VLOOKUP(B324,projections!A:B,2,false), "NOT ACTIVE")</f>
        <v>NOT ACTIVE</v>
      </c>
      <c r="G324" s="8" t="str">
        <f t="shared" si="1"/>
        <v>NOT ACTIVE</v>
      </c>
      <c r="H324" s="6" t="str">
        <f>iferror(VLOOKUP(B324,usage!A:B,2,false), "NOT ACTIVE")</f>
        <v>NOT ACTIVE</v>
      </c>
      <c r="I324" s="6" t="str">
        <f t="array" ref="I324">INDEX(DvP!$B$2:$F$31,MATCH($E324,DvP!$A$2:$A$31,0),MATCH($A324,DvP!$B$1:$F$1,0))</f>
        <v>#N/A</v>
      </c>
      <c r="J324" s="8" t="str">
        <f t="array" ref="J324">INDEX(DvA!$B$2:$I$31,MATCH($E324,DvA!$A$2:$A$31,0),MATCH($K324,DvA!$B$1:$I$1,0))</f>
        <v>#N/A</v>
      </c>
      <c r="K324" s="8" t="str">
        <f>VLOOKUP(B324,archtypes!A:B,2,false)</f>
        <v>#N/A</v>
      </c>
      <c r="L324" s="8">
        <f t="shared" si="2"/>
        <v>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10"/>
      <c r="C325" s="11"/>
      <c r="D325" s="10"/>
      <c r="E325" s="9"/>
      <c r="F325" s="7" t="str">
        <f>iferror(VLOOKUP(B325,projections!A:B,2,false), "NOT ACTIVE")</f>
        <v>NOT ACTIVE</v>
      </c>
      <c r="G325" s="8" t="str">
        <f t="shared" si="1"/>
        <v>NOT ACTIVE</v>
      </c>
      <c r="H325" s="6" t="str">
        <f>iferror(VLOOKUP(B325,usage!A:B,2,false), "NOT ACTIVE")</f>
        <v>NOT ACTIVE</v>
      </c>
      <c r="I325" s="6" t="str">
        <f t="array" ref="I325">INDEX(DvP!$B$2:$F$31,MATCH($E325,DvP!$A$2:$A$31,0),MATCH($A325,DvP!$B$1:$F$1,0))</f>
        <v>#N/A</v>
      </c>
      <c r="J325" s="8" t="str">
        <f t="array" ref="J325">INDEX(DvA!$B$2:$I$31,MATCH($E325,DvA!$A$2:$A$31,0),MATCH($K325,DvA!$B$1:$I$1,0))</f>
        <v>#N/A</v>
      </c>
      <c r="K325" s="8" t="str">
        <f>VLOOKUP(B325,archtypes!A:B,2,false)</f>
        <v>#N/A</v>
      </c>
      <c r="L325" s="8">
        <f t="shared" si="2"/>
        <v>0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10"/>
      <c r="C326" s="11"/>
      <c r="D326" s="10"/>
      <c r="E326" s="9"/>
      <c r="F326" s="7" t="str">
        <f>iferror(VLOOKUP(B326,projections!A:B,2,false), "NOT ACTIVE")</f>
        <v>NOT ACTIVE</v>
      </c>
      <c r="G326" s="8" t="str">
        <f t="shared" si="1"/>
        <v>NOT ACTIVE</v>
      </c>
      <c r="H326" s="6" t="str">
        <f>iferror(VLOOKUP(B326,usage!A:B,2,false), "NOT ACTIVE")</f>
        <v>NOT ACTIVE</v>
      </c>
      <c r="I326" s="6" t="str">
        <f t="array" ref="I326">INDEX(DvP!$B$2:$F$31,MATCH($E326,DvP!$A$2:$A$31,0),MATCH($A326,DvP!$B$1:$F$1,0))</f>
        <v>#N/A</v>
      </c>
      <c r="J326" s="8" t="str">
        <f t="array" ref="J326">INDEX(DvA!$B$2:$I$31,MATCH($E326,DvA!$A$2:$A$31,0),MATCH($K326,DvA!$B$1:$I$1,0))</f>
        <v>#N/A</v>
      </c>
      <c r="K326" s="8" t="str">
        <f>VLOOKUP(B326,archtypes!A:B,2,false)</f>
        <v>#N/A</v>
      </c>
      <c r="L326" s="8">
        <f t="shared" si="2"/>
        <v>0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12"/>
      <c r="C327" s="11"/>
      <c r="D327" s="10"/>
      <c r="E327" s="9"/>
      <c r="F327" s="7" t="str">
        <f>iferror(VLOOKUP(B327,projections!A:B,2,false), "NOT ACTIVE")</f>
        <v>NOT ACTIVE</v>
      </c>
      <c r="G327" s="8" t="str">
        <f t="shared" si="1"/>
        <v>NOT ACTIVE</v>
      </c>
      <c r="H327" s="6" t="str">
        <f>iferror(VLOOKUP(B327,usage!A:B,2,false), "NOT ACTIVE")</f>
        <v>NOT ACTIVE</v>
      </c>
      <c r="I327" s="6" t="str">
        <f t="array" ref="I327">INDEX(DvP!$B$2:$F$31,MATCH($E327,DvP!$A$2:$A$31,0),MATCH($A327,DvP!$B$1:$F$1,0))</f>
        <v>#N/A</v>
      </c>
      <c r="J327" s="8" t="str">
        <f t="array" ref="J327">INDEX(DvA!$B$2:$I$31,MATCH($E327,DvA!$A$2:$A$31,0),MATCH($K327,DvA!$B$1:$I$1,0))</f>
        <v>#N/A</v>
      </c>
      <c r="K327" s="8" t="str">
        <f>VLOOKUP(B327,archtypes!A:B,2,false)</f>
        <v>#N/A</v>
      </c>
      <c r="L327" s="8">
        <f t="shared" si="2"/>
        <v>0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10"/>
      <c r="C328" s="11"/>
      <c r="D328" s="10"/>
      <c r="E328" s="9"/>
      <c r="F328" s="7" t="str">
        <f>iferror(VLOOKUP(B328,projections!A:B,2,false), "NOT ACTIVE")</f>
        <v>NOT ACTIVE</v>
      </c>
      <c r="G328" s="8" t="str">
        <f t="shared" si="1"/>
        <v>NOT ACTIVE</v>
      </c>
      <c r="H328" s="6" t="str">
        <f>iferror(VLOOKUP(B328,usage!A:B,2,false), "NOT ACTIVE")</f>
        <v>NOT ACTIVE</v>
      </c>
      <c r="I328" s="6" t="str">
        <f t="array" ref="I328">INDEX(DvP!$B$2:$F$31,MATCH($E328,DvP!$A$2:$A$31,0),MATCH($A328,DvP!$B$1:$F$1,0))</f>
        <v>#N/A</v>
      </c>
      <c r="J328" s="8" t="str">
        <f t="array" ref="J328">INDEX(DvA!$B$2:$I$31,MATCH($E328,DvA!$A$2:$A$31,0),MATCH($K328,DvA!$B$1:$I$1,0))</f>
        <v>#N/A</v>
      </c>
      <c r="K328" s="8" t="str">
        <f>VLOOKUP(B328,archtypes!A:B,2,false)</f>
        <v>#N/A</v>
      </c>
      <c r="L328" s="8">
        <f t="shared" si="2"/>
        <v>0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10"/>
      <c r="C329" s="11"/>
      <c r="D329" s="10"/>
      <c r="E329" s="9"/>
      <c r="F329" s="7" t="str">
        <f>iferror(VLOOKUP(B329,projections!A:B,2,false), "NOT ACTIVE")</f>
        <v>NOT ACTIVE</v>
      </c>
      <c r="G329" s="8" t="str">
        <f t="shared" si="1"/>
        <v>NOT ACTIVE</v>
      </c>
      <c r="H329" s="6" t="str">
        <f>iferror(VLOOKUP(B329,usage!A:B,2,false), "NOT ACTIVE")</f>
        <v>NOT ACTIVE</v>
      </c>
      <c r="I329" s="6" t="str">
        <f t="array" ref="I329">INDEX(DvP!$B$2:$F$31,MATCH($E329,DvP!$A$2:$A$31,0),MATCH($A329,DvP!$B$1:$F$1,0))</f>
        <v>#N/A</v>
      </c>
      <c r="J329" s="8" t="str">
        <f t="array" ref="J329">INDEX(DvA!$B$2:$I$31,MATCH($E329,DvA!$A$2:$A$31,0),MATCH($K329,DvA!$B$1:$I$1,0))</f>
        <v>#N/A</v>
      </c>
      <c r="K329" s="8" t="str">
        <f>VLOOKUP(B329,archtypes!A:B,2,false)</f>
        <v>#N/A</v>
      </c>
      <c r="L329" s="8">
        <f t="shared" si="2"/>
        <v>0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12"/>
      <c r="C330" s="11"/>
      <c r="D330" s="10"/>
      <c r="E330" s="9"/>
      <c r="F330" s="7" t="str">
        <f>iferror(VLOOKUP(B330,projections!A:B,2,false), "NOT ACTIVE")</f>
        <v>NOT ACTIVE</v>
      </c>
      <c r="G330" s="8" t="str">
        <f t="shared" si="1"/>
        <v>NOT ACTIVE</v>
      </c>
      <c r="H330" s="6" t="str">
        <f>iferror(VLOOKUP(B330,usage!A:B,2,false), "NOT ACTIVE")</f>
        <v>NOT ACTIVE</v>
      </c>
      <c r="I330" s="6" t="str">
        <f t="array" ref="I330">INDEX(DvP!$B$2:$F$31,MATCH($E330,DvP!$A$2:$A$31,0),MATCH($A330,DvP!$B$1:$F$1,0))</f>
        <v>#N/A</v>
      </c>
      <c r="J330" s="8" t="str">
        <f t="array" ref="J330">INDEX(DvA!$B$2:$I$31,MATCH($E330,DvA!$A$2:$A$31,0),MATCH($K330,DvA!$B$1:$I$1,0))</f>
        <v>#N/A</v>
      </c>
      <c r="K330" s="8" t="str">
        <f>VLOOKUP(B330,archtypes!A:B,2,false)</f>
        <v>#N/A</v>
      </c>
      <c r="L330" s="8">
        <f t="shared" si="2"/>
        <v>0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10"/>
      <c r="C331" s="11"/>
      <c r="D331" s="10"/>
      <c r="E331" s="9"/>
      <c r="F331" s="7" t="str">
        <f>iferror(VLOOKUP(B331,projections!A:B,2,false), "NOT ACTIVE")</f>
        <v>NOT ACTIVE</v>
      </c>
      <c r="G331" s="8" t="str">
        <f t="shared" si="1"/>
        <v>NOT ACTIVE</v>
      </c>
      <c r="H331" s="6" t="str">
        <f>iferror(VLOOKUP(B331,usage!A:B,2,false), "NOT ACTIVE")</f>
        <v>NOT ACTIVE</v>
      </c>
      <c r="I331" s="6" t="str">
        <f t="array" ref="I331">INDEX(DvP!$B$2:$F$31,MATCH($E331,DvP!$A$2:$A$31,0),MATCH($A331,DvP!$B$1:$F$1,0))</f>
        <v>#N/A</v>
      </c>
      <c r="J331" s="8" t="str">
        <f t="array" ref="J331">INDEX(DvA!$B$2:$I$31,MATCH($E331,DvA!$A$2:$A$31,0),MATCH($K331,DvA!$B$1:$I$1,0))</f>
        <v>#N/A</v>
      </c>
      <c r="K331" s="8" t="str">
        <f>VLOOKUP(B331,archtypes!A:B,2,false)</f>
        <v>#N/A</v>
      </c>
      <c r="L331" s="8">
        <f t="shared" si="2"/>
        <v>0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10"/>
      <c r="C332" s="11"/>
      <c r="D332" s="10"/>
      <c r="E332" s="9"/>
      <c r="F332" s="7" t="str">
        <f>iferror(VLOOKUP(B332,projections!A:B,2,false), "NOT ACTIVE")</f>
        <v>NOT ACTIVE</v>
      </c>
      <c r="G332" s="8" t="str">
        <f t="shared" si="1"/>
        <v>NOT ACTIVE</v>
      </c>
      <c r="H332" s="6" t="str">
        <f>iferror(VLOOKUP(B332,usage!A:B,2,false), "NOT ACTIVE")</f>
        <v>NOT ACTIVE</v>
      </c>
      <c r="I332" s="6" t="str">
        <f t="array" ref="I332">INDEX(DvP!$B$2:$F$31,MATCH($E332,DvP!$A$2:$A$31,0),MATCH($A332,DvP!$B$1:$F$1,0))</f>
        <v>#N/A</v>
      </c>
      <c r="J332" s="8" t="str">
        <f t="array" ref="J332">INDEX(DvA!$B$2:$I$31,MATCH($E332,DvA!$A$2:$A$31,0),MATCH($K332,DvA!$B$1:$I$1,0))</f>
        <v>#N/A</v>
      </c>
      <c r="K332" s="8" t="str">
        <f>VLOOKUP(B332,archtypes!A:B,2,false)</f>
        <v>#N/A</v>
      </c>
      <c r="L332" s="8">
        <f t="shared" si="2"/>
        <v>0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10"/>
      <c r="C333" s="11"/>
      <c r="D333" s="10"/>
      <c r="E333" s="9"/>
      <c r="F333" s="7" t="str">
        <f>iferror(VLOOKUP(B333,projections!A:B,2,false), "NOT ACTIVE")</f>
        <v>NOT ACTIVE</v>
      </c>
      <c r="G333" s="8" t="str">
        <f t="shared" si="1"/>
        <v>NOT ACTIVE</v>
      </c>
      <c r="H333" s="6" t="str">
        <f>iferror(VLOOKUP(B333,usage!A:B,2,false), "NOT ACTIVE")</f>
        <v>NOT ACTIVE</v>
      </c>
      <c r="I333" s="6" t="str">
        <f t="array" ref="I333">INDEX(DvP!$B$2:$F$31,MATCH($E333,DvP!$A$2:$A$31,0),MATCH($A333,DvP!$B$1:$F$1,0))</f>
        <v>#N/A</v>
      </c>
      <c r="J333" s="8" t="str">
        <f t="array" ref="J333">INDEX(DvA!$B$2:$I$31,MATCH($E333,DvA!$A$2:$A$31,0),MATCH($K333,DvA!$B$1:$I$1,0))</f>
        <v>#N/A</v>
      </c>
      <c r="K333" s="8" t="str">
        <f>VLOOKUP(B333,archtypes!A:B,2,false)</f>
        <v>#N/A</v>
      </c>
      <c r="L333" s="8">
        <f t="shared" si="2"/>
        <v>0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13"/>
      <c r="C334" s="13"/>
      <c r="D334" s="13"/>
      <c r="E334" s="10"/>
      <c r="F334" s="7"/>
      <c r="G334" s="8" t="str">
        <f t="shared" si="1"/>
        <v>NOT ACTIVE</v>
      </c>
      <c r="H334" s="6" t="str">
        <f>iferror(VLOOKUP(B334,usage!A:B,2,false), "NOT ACTIVE")</f>
        <v>NOT ACTIVE</v>
      </c>
      <c r="I334" s="6" t="str">
        <f t="array" ref="I334">INDEX(DvP!$B$2:$F$31,MATCH($E334,DvP!$A$2:$A$31,0),MATCH($A334,DvP!$B$1:$F$1,0))</f>
        <v>#N/A</v>
      </c>
      <c r="J334" s="8" t="str">
        <f t="array" ref="J334">INDEX(DvA!$B$2:$I$31,MATCH($E334,DvA!$A$2:$A$31,0),MATCH($K334,DvA!$B$1:$I$1,0))</f>
        <v>#N/A</v>
      </c>
      <c r="K334" s="8" t="str">
        <f>VLOOKUP(B334,archtypes!A:B,2,false)</f>
        <v>#N/A</v>
      </c>
      <c r="L334" s="8">
        <f t="shared" si="2"/>
        <v>0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13"/>
      <c r="C335" s="13"/>
      <c r="D335" s="13"/>
      <c r="E335" s="10"/>
      <c r="F335" s="7"/>
      <c r="G335" s="8" t="str">
        <f t="shared" si="1"/>
        <v>NOT ACTIVE</v>
      </c>
      <c r="H335" s="6" t="str">
        <f>iferror(VLOOKUP(B335,usage!A:B,2,false), "NOT ACTIVE")</f>
        <v>NOT ACTIVE</v>
      </c>
      <c r="I335" s="6" t="str">
        <f t="array" ref="I335">INDEX(DvP!$B$2:$F$31,MATCH($E335,DvP!$A$2:$A$31,0),MATCH($A335,DvP!$B$1:$F$1,0))</f>
        <v>#N/A</v>
      </c>
      <c r="J335" s="8" t="str">
        <f t="array" ref="J335">INDEX(DvA!$B$2:$I$31,MATCH($E335,DvA!$A$2:$A$31,0),MATCH($K335,DvA!$B$1:$I$1,0))</f>
        <v>#N/A</v>
      </c>
      <c r="K335" s="8" t="str">
        <f>VLOOKUP(B335,archtypes!A:B,2,false)</f>
        <v>#N/A</v>
      </c>
      <c r="L335" s="8">
        <f t="shared" si="2"/>
        <v>0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13"/>
      <c r="C336" s="13"/>
      <c r="D336" s="13"/>
      <c r="E336" s="10"/>
      <c r="F336" s="7"/>
      <c r="G336" s="8" t="str">
        <f t="shared" si="1"/>
        <v>NOT ACTIVE</v>
      </c>
      <c r="H336" s="6" t="str">
        <f>iferror(VLOOKUP(B336,usage!A:B,2,false), "NOT ACTIVE")</f>
        <v>NOT ACTIVE</v>
      </c>
      <c r="I336" s="6" t="str">
        <f t="array" ref="I336">INDEX(DvP!$B$2:$F$31,MATCH($E336,DvP!$A$2:$A$31,0),MATCH($A336,DvP!$B$1:$F$1,0))</f>
        <v>#N/A</v>
      </c>
      <c r="J336" s="8" t="str">
        <f t="array" ref="J336">INDEX(DvA!$B$2:$I$31,MATCH($E336,DvA!$A$2:$A$31,0),MATCH($K336,DvA!$B$1:$I$1,0))</f>
        <v>#N/A</v>
      </c>
      <c r="K336" s="8" t="str">
        <f>VLOOKUP(B336,archtypes!A:B,2,false)</f>
        <v>#N/A</v>
      </c>
      <c r="L336" s="8">
        <f t="shared" si="2"/>
        <v>0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13"/>
      <c r="C337" s="13"/>
      <c r="D337" s="13"/>
      <c r="E337" s="10"/>
      <c r="F337" s="7"/>
      <c r="G337" s="8" t="str">
        <f t="shared" si="1"/>
        <v>NOT ACTIVE</v>
      </c>
      <c r="H337" s="6" t="str">
        <f>iferror(VLOOKUP(B337,usage!A:B,2,false), "NOT ACTIVE")</f>
        <v>NOT ACTIVE</v>
      </c>
      <c r="I337" s="6" t="str">
        <f t="array" ref="I337">INDEX(DvP!$B$2:$F$31,MATCH($E337,DvP!$A$2:$A$31,0),MATCH($A337,DvP!$B$1:$F$1,0))</f>
        <v>#N/A</v>
      </c>
      <c r="J337" s="8" t="str">
        <f t="array" ref="J337">INDEX(DvA!$B$2:$I$31,MATCH($E337,DvA!$A$2:$A$31,0),MATCH($K337,DvA!$B$1:$I$1,0))</f>
        <v>#N/A</v>
      </c>
      <c r="K337" s="8" t="str">
        <f>VLOOKUP(B337,archtypes!A:B,2,false)</f>
        <v>#N/A</v>
      </c>
      <c r="L337" s="8">
        <f t="shared" si="2"/>
        <v>0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13"/>
      <c r="C338" s="13"/>
      <c r="D338" s="13"/>
      <c r="E338" s="10"/>
      <c r="F338" s="7"/>
      <c r="G338" s="8" t="str">
        <f t="shared" si="1"/>
        <v>NOT ACTIVE</v>
      </c>
      <c r="H338" s="6" t="str">
        <f>iferror(VLOOKUP(B338,usage!A:B,2,false), "NOT ACTIVE")</f>
        <v>NOT ACTIVE</v>
      </c>
      <c r="I338" s="6" t="str">
        <f t="array" ref="I338">INDEX(DvP!$B$2:$F$31,MATCH($E338,DvP!$A$2:$A$31,0),MATCH($A338,DvP!$B$1:$F$1,0))</f>
        <v>#N/A</v>
      </c>
      <c r="J338" s="8" t="str">
        <f t="array" ref="J338">INDEX(DvA!$B$2:$I$31,MATCH($E338,DvA!$A$2:$A$31,0),MATCH($K338,DvA!$B$1:$I$1,0))</f>
        <v>#N/A</v>
      </c>
      <c r="K338" s="8" t="str">
        <f>VLOOKUP(B338,archtypes!A:B,2,false)</f>
        <v>#N/A</v>
      </c>
      <c r="L338" s="8">
        <f t="shared" si="2"/>
        <v>0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13"/>
      <c r="C339" s="13"/>
      <c r="D339" s="13"/>
      <c r="E339" s="10"/>
      <c r="F339" s="7"/>
      <c r="G339" s="8" t="str">
        <f t="shared" si="1"/>
        <v>NOT ACTIVE</v>
      </c>
      <c r="H339" s="6" t="str">
        <f>iferror(VLOOKUP(B339,usage!A:B,2,false), "NOT ACTIVE")</f>
        <v>NOT ACTIVE</v>
      </c>
      <c r="I339" s="6" t="str">
        <f t="array" ref="I339">INDEX(DvP!$B$2:$F$31,MATCH($E339,DvP!$A$2:$A$31,0),MATCH($A339,DvP!$B$1:$F$1,0))</f>
        <v>#N/A</v>
      </c>
      <c r="J339" s="8" t="str">
        <f t="array" ref="J339">INDEX(DvA!$B$2:$I$31,MATCH($E339,DvA!$A$2:$A$31,0),MATCH($K339,DvA!$B$1:$I$1,0))</f>
        <v>#N/A</v>
      </c>
      <c r="K339" s="8" t="str">
        <f>VLOOKUP(B339,archtypes!A:B,2,false)</f>
        <v>#N/A</v>
      </c>
      <c r="L339" s="8">
        <f t="shared" si="2"/>
        <v>0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13"/>
      <c r="C340" s="13"/>
      <c r="D340" s="13"/>
      <c r="E340" s="10"/>
      <c r="F340" s="7"/>
      <c r="G340" s="8" t="str">
        <f t="shared" si="1"/>
        <v>NOT ACTIVE</v>
      </c>
      <c r="H340" s="6" t="str">
        <f>iferror(VLOOKUP(B340,usage!A:B,2,false), "NOT ACTIVE")</f>
        <v>NOT ACTIVE</v>
      </c>
      <c r="I340" s="6" t="str">
        <f t="array" ref="I340">INDEX(DvP!$B$2:$F$31,MATCH($E340,DvP!$A$2:$A$31,0),MATCH($A340,DvP!$B$1:$F$1,0))</f>
        <v>#N/A</v>
      </c>
      <c r="J340" s="8" t="str">
        <f t="array" ref="J340">INDEX(DvA!$B$2:$I$31,MATCH($E340,DvA!$A$2:$A$31,0),MATCH($K340,DvA!$B$1:$I$1,0))</f>
        <v>#N/A</v>
      </c>
      <c r="K340" s="8" t="str">
        <f>VLOOKUP(B340,archtypes!A:B,2,false)</f>
        <v>#N/A</v>
      </c>
      <c r="L340" s="8">
        <f t="shared" si="2"/>
        <v>0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13"/>
      <c r="C341" s="13"/>
      <c r="D341" s="13"/>
      <c r="E341" s="10"/>
      <c r="F341" s="7"/>
      <c r="G341" s="8" t="str">
        <f t="shared" si="1"/>
        <v>NOT ACTIVE</v>
      </c>
      <c r="H341" s="6" t="str">
        <f>iferror(VLOOKUP(B341,usage!A:B,2,false), "NOT ACTIVE")</f>
        <v>NOT ACTIVE</v>
      </c>
      <c r="I341" s="6" t="str">
        <f t="array" ref="I341">INDEX(DvP!$B$2:$F$31,MATCH($E341,DvP!$A$2:$A$31,0),MATCH($A341,DvP!$B$1:$F$1,0))</f>
        <v>#N/A</v>
      </c>
      <c r="J341" s="8" t="str">
        <f t="array" ref="J341">INDEX(DvA!$B$2:$I$31,MATCH($E341,DvA!$A$2:$A$31,0),MATCH($K341,DvA!$B$1:$I$1,0))</f>
        <v>#N/A</v>
      </c>
      <c r="K341" s="8" t="str">
        <f>VLOOKUP(B341,archtypes!A:B,2,false)</f>
        <v>#N/A</v>
      </c>
      <c r="L341" s="8">
        <f t="shared" si="2"/>
        <v>0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13"/>
      <c r="C342" s="13"/>
      <c r="D342" s="13"/>
      <c r="E342" s="10"/>
      <c r="F342" s="7"/>
      <c r="G342" s="8" t="str">
        <f t="shared" si="1"/>
        <v>NOT ACTIVE</v>
      </c>
      <c r="H342" s="6" t="str">
        <f>iferror(VLOOKUP(B342,usage!A:B,2,false), "NOT ACTIVE")</f>
        <v>NOT ACTIVE</v>
      </c>
      <c r="I342" s="6" t="str">
        <f t="array" ref="I342">INDEX(DvP!$B$2:$F$31,MATCH($E342,DvP!$A$2:$A$31,0),MATCH($A342,DvP!$B$1:$F$1,0))</f>
        <v>#N/A</v>
      </c>
      <c r="J342" s="8" t="str">
        <f t="array" ref="J342">INDEX(DvA!$B$2:$I$31,MATCH($E342,DvA!$A$2:$A$31,0),MATCH($K342,DvA!$B$1:$I$1,0))</f>
        <v>#N/A</v>
      </c>
      <c r="K342" s="8" t="str">
        <f>VLOOKUP(B342,archtypes!A:B,2,false)</f>
        <v>#N/A</v>
      </c>
      <c r="L342" s="8">
        <f t="shared" si="2"/>
        <v>0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13"/>
      <c r="C343" s="13"/>
      <c r="D343" s="13"/>
      <c r="E343" s="10"/>
      <c r="F343" s="7"/>
      <c r="G343" s="8" t="str">
        <f t="shared" si="1"/>
        <v>NOT ACTIVE</v>
      </c>
      <c r="H343" s="6" t="str">
        <f>iferror(VLOOKUP(B343,usage!A:B,2,false), "NOT ACTIVE")</f>
        <v>NOT ACTIVE</v>
      </c>
      <c r="I343" s="6" t="str">
        <f t="array" ref="I343">INDEX(DvP!$B$2:$F$31,MATCH($E343,DvP!$A$2:$A$31,0),MATCH($A343,DvP!$B$1:$F$1,0))</f>
        <v>#N/A</v>
      </c>
      <c r="J343" s="8" t="str">
        <f t="array" ref="J343">INDEX(DvA!$B$2:$I$31,MATCH($E343,DvA!$A$2:$A$31,0),MATCH($K343,DvA!$B$1:$I$1,0))</f>
        <v>#N/A</v>
      </c>
      <c r="K343" s="8" t="str">
        <f>VLOOKUP(B343,archtypes!A:B,2,false)</f>
        <v>#N/A</v>
      </c>
      <c r="L343" s="8">
        <f t="shared" si="2"/>
        <v>0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13"/>
      <c r="C344" s="13"/>
      <c r="D344" s="13"/>
      <c r="E344" s="10"/>
      <c r="F344" s="7"/>
      <c r="G344" s="8" t="str">
        <f t="shared" si="1"/>
        <v>NOT ACTIVE</v>
      </c>
      <c r="H344" s="6" t="str">
        <f>iferror(VLOOKUP(B344,usage!A:B,2,false), "NOT ACTIVE")</f>
        <v>NOT ACTIVE</v>
      </c>
      <c r="I344" s="6" t="str">
        <f t="array" ref="I344">INDEX(DvP!$B$2:$F$31,MATCH($E344,DvP!$A$2:$A$31,0),MATCH($A344,DvP!$B$1:$F$1,0))</f>
        <v>#N/A</v>
      </c>
      <c r="J344" s="8" t="str">
        <f t="array" ref="J344">INDEX(DvA!$B$2:$I$31,MATCH($E344,DvA!$A$2:$A$31,0),MATCH($K344,DvA!$B$1:$I$1,0))</f>
        <v>#N/A</v>
      </c>
      <c r="K344" s="8" t="str">
        <f>VLOOKUP(B344,archtypes!A:B,2,false)</f>
        <v>#N/A</v>
      </c>
      <c r="L344" s="8">
        <f t="shared" si="2"/>
        <v>0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13"/>
      <c r="C345" s="13"/>
      <c r="D345" s="13"/>
      <c r="E345" s="10"/>
      <c r="F345" s="7"/>
      <c r="G345" s="8" t="str">
        <f t="shared" si="1"/>
        <v>NOT ACTIVE</v>
      </c>
      <c r="H345" s="6" t="str">
        <f>iferror(VLOOKUP(B345,usage!A:B,2,false), "NOT ACTIVE")</f>
        <v>NOT ACTIVE</v>
      </c>
      <c r="I345" s="6" t="str">
        <f t="array" ref="I345">INDEX(DvP!$B$2:$F$31,MATCH($E345,DvP!$A$2:$A$31,0),MATCH($A345,DvP!$B$1:$F$1,0))</f>
        <v>#N/A</v>
      </c>
      <c r="J345" s="8" t="str">
        <f t="array" ref="J345">INDEX(DvA!$B$2:$I$31,MATCH($E345,DvA!$A$2:$A$31,0),MATCH($K345,DvA!$B$1:$I$1,0))</f>
        <v>#N/A</v>
      </c>
      <c r="K345" s="8" t="str">
        <f>VLOOKUP(B345,archtypes!A:B,2,false)</f>
        <v>#N/A</v>
      </c>
      <c r="L345" s="8">
        <f t="shared" si="2"/>
        <v>0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13"/>
      <c r="C346" s="13"/>
      <c r="D346" s="13"/>
      <c r="E346" s="10"/>
      <c r="F346" s="7"/>
      <c r="G346" s="8" t="str">
        <f t="shared" si="1"/>
        <v>NOT ACTIVE</v>
      </c>
      <c r="H346" s="6" t="str">
        <f>iferror(VLOOKUP(B346,usage!A:B,2,false), "NOT ACTIVE")</f>
        <v>NOT ACTIVE</v>
      </c>
      <c r="I346" s="6" t="str">
        <f t="array" ref="I346">INDEX(DvP!$B$2:$F$31,MATCH($E346,DvP!$A$2:$A$31,0),MATCH($A346,DvP!$B$1:$F$1,0))</f>
        <v>#N/A</v>
      </c>
      <c r="J346" s="8" t="str">
        <f t="array" ref="J346">INDEX(DvA!$B$2:$I$31,MATCH($E346,DvA!$A$2:$A$31,0),MATCH($K346,DvA!$B$1:$I$1,0))</f>
        <v>#N/A</v>
      </c>
      <c r="K346" s="8" t="str">
        <f>VLOOKUP(B346,archtypes!A:B,2,false)</f>
        <v>#N/A</v>
      </c>
      <c r="L346" s="8">
        <f t="shared" si="2"/>
        <v>0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13"/>
      <c r="C347" s="13"/>
      <c r="D347" s="13"/>
      <c r="E347" s="10"/>
      <c r="F347" s="7"/>
      <c r="G347" s="8" t="str">
        <f t="shared" si="1"/>
        <v>NOT ACTIVE</v>
      </c>
      <c r="H347" s="6" t="str">
        <f>iferror(VLOOKUP(B347,usage!A:B,2,false), "NOT ACTIVE")</f>
        <v>NOT ACTIVE</v>
      </c>
      <c r="I347" s="6" t="str">
        <f t="array" ref="I347">INDEX(DvP!$B$2:$F$31,MATCH($E347,DvP!$A$2:$A$31,0),MATCH($A347,DvP!$B$1:$F$1,0))</f>
        <v>#N/A</v>
      </c>
      <c r="J347" s="8" t="str">
        <f t="array" ref="J347">INDEX(DvA!$B$2:$I$31,MATCH($E347,DvA!$A$2:$A$31,0),MATCH($K347,DvA!$B$1:$I$1,0))</f>
        <v>#N/A</v>
      </c>
      <c r="K347" s="8" t="str">
        <f>VLOOKUP(B347,archtypes!A:B,2,false)</f>
        <v>#N/A</v>
      </c>
      <c r="L347" s="8">
        <f t="shared" si="2"/>
        <v>0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13"/>
      <c r="C348" s="13"/>
      <c r="D348" s="13"/>
      <c r="E348" s="10"/>
      <c r="F348" s="7"/>
      <c r="G348" s="8" t="str">
        <f t="shared" si="1"/>
        <v>NOT ACTIVE</v>
      </c>
      <c r="H348" s="6" t="str">
        <f>iferror(VLOOKUP(B348,usage!A:B,2,false), "NOT ACTIVE")</f>
        <v>NOT ACTIVE</v>
      </c>
      <c r="I348" s="6" t="str">
        <f t="array" ref="I348">INDEX(DvP!$B$2:$F$31,MATCH($E348,DvP!$A$2:$A$31,0),MATCH($A348,DvP!$B$1:$F$1,0))</f>
        <v>#N/A</v>
      </c>
      <c r="J348" s="8" t="str">
        <f t="array" ref="J348">INDEX(DvA!$B$2:$I$31,MATCH($E348,DvA!$A$2:$A$31,0),MATCH($K348,DvA!$B$1:$I$1,0))</f>
        <v>#N/A</v>
      </c>
      <c r="K348" s="8" t="str">
        <f>VLOOKUP(B348,archtypes!A:B,2,false)</f>
        <v>#N/A</v>
      </c>
      <c r="L348" s="8">
        <f t="shared" si="2"/>
        <v>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13"/>
      <c r="C349" s="13"/>
      <c r="D349" s="13"/>
      <c r="E349" s="10"/>
      <c r="F349" s="7"/>
      <c r="G349" s="8" t="str">
        <f t="shared" si="1"/>
        <v>NOT ACTIVE</v>
      </c>
      <c r="H349" s="6" t="str">
        <f>iferror(VLOOKUP(B349,usage!A:B,2,false), "NOT ACTIVE")</f>
        <v>NOT ACTIVE</v>
      </c>
      <c r="I349" s="6" t="str">
        <f t="array" ref="I349">INDEX(DvP!$B$2:$F$31,MATCH($E349,DvP!$A$2:$A$31,0),MATCH($A349,DvP!$B$1:$F$1,0))</f>
        <v>#N/A</v>
      </c>
      <c r="J349" s="8" t="str">
        <f t="array" ref="J349">INDEX(DvA!$B$2:$I$31,MATCH($E349,DvA!$A$2:$A$31,0),MATCH($K349,DvA!$B$1:$I$1,0))</f>
        <v>#N/A</v>
      </c>
      <c r="K349" s="8" t="str">
        <f>VLOOKUP(B349,archtypes!A:B,2,false)</f>
        <v>#N/A</v>
      </c>
      <c r="L349" s="8">
        <f t="shared" si="2"/>
        <v>0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13"/>
      <c r="C350" s="13"/>
      <c r="D350" s="13"/>
      <c r="E350" s="10"/>
      <c r="F350" s="7"/>
      <c r="G350" s="8" t="str">
        <f t="shared" si="1"/>
        <v>NOT ACTIVE</v>
      </c>
      <c r="H350" s="6" t="str">
        <f>iferror(VLOOKUP(B350,usage!A:B,2,false), "NOT ACTIVE")</f>
        <v>NOT ACTIVE</v>
      </c>
      <c r="I350" s="6" t="str">
        <f t="array" ref="I350">INDEX(DvP!$B$2:$F$31,MATCH($E350,DvP!$A$2:$A$31,0),MATCH($A350,DvP!$B$1:$F$1,0))</f>
        <v>#N/A</v>
      </c>
      <c r="J350" s="8" t="str">
        <f t="array" ref="J350">INDEX(DvA!$B$2:$I$31,MATCH($E350,DvA!$A$2:$A$31,0),MATCH($K350,DvA!$B$1:$I$1,0))</f>
        <v>#N/A</v>
      </c>
      <c r="K350" s="8" t="str">
        <f>VLOOKUP(B350,archtypes!A:B,2,false)</f>
        <v>#N/A</v>
      </c>
      <c r="L350" s="8">
        <f t="shared" si="2"/>
        <v>0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13"/>
      <c r="C351" s="13"/>
      <c r="D351" s="13"/>
      <c r="E351" s="10"/>
      <c r="F351" s="7"/>
      <c r="G351" s="8" t="str">
        <f t="shared" si="1"/>
        <v>NOT ACTIVE</v>
      </c>
      <c r="H351" s="6" t="str">
        <f>iferror(VLOOKUP(B351,usage!A:B,2,false), "NOT ACTIVE")</f>
        <v>NOT ACTIVE</v>
      </c>
      <c r="I351" s="6" t="str">
        <f t="array" ref="I351">INDEX(DvP!$B$2:$F$31,MATCH($E351,DvP!$A$2:$A$31,0),MATCH($A351,DvP!$B$1:$F$1,0))</f>
        <v>#N/A</v>
      </c>
      <c r="J351" s="8" t="str">
        <f t="array" ref="J351">INDEX(DvA!$B$2:$I$31,MATCH($E351,DvA!$A$2:$A$31,0),MATCH($K351,DvA!$B$1:$I$1,0))</f>
        <v>#N/A</v>
      </c>
      <c r="K351" s="8" t="str">
        <f>VLOOKUP(B351,archtypes!A:B,2,false)</f>
        <v>#N/A</v>
      </c>
      <c r="L351" s="8">
        <f t="shared" si="2"/>
        <v>0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13"/>
      <c r="C352" s="13"/>
      <c r="D352" s="13"/>
      <c r="E352" s="10"/>
      <c r="F352" s="7"/>
      <c r="G352" s="8" t="str">
        <f t="shared" si="1"/>
        <v>NOT ACTIVE</v>
      </c>
      <c r="H352" s="6" t="str">
        <f>iferror(VLOOKUP(B352,usage!A:B,2,false), "NOT ACTIVE")</f>
        <v>NOT ACTIVE</v>
      </c>
      <c r="I352" s="6" t="str">
        <f t="array" ref="I352">INDEX(DvP!$B$2:$F$31,MATCH($E352,DvP!$A$2:$A$31,0),MATCH($A352,DvP!$B$1:$F$1,0))</f>
        <v>#N/A</v>
      </c>
      <c r="J352" s="8" t="str">
        <f t="array" ref="J352">INDEX(DvA!$B$2:$I$31,MATCH($E352,DvA!$A$2:$A$31,0),MATCH($K352,DvA!$B$1:$I$1,0))</f>
        <v>#N/A</v>
      </c>
      <c r="K352" s="8" t="str">
        <f>VLOOKUP(B352,archtypes!A:B,2,false)</f>
        <v>#N/A</v>
      </c>
      <c r="L352" s="8">
        <f t="shared" si="2"/>
        <v>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13"/>
      <c r="C353" s="13"/>
      <c r="D353" s="13"/>
      <c r="E353" s="10"/>
      <c r="F353" s="7"/>
      <c r="G353" s="8" t="str">
        <f t="shared" si="1"/>
        <v>NOT ACTIVE</v>
      </c>
      <c r="H353" s="6" t="str">
        <f>iferror(VLOOKUP(B353,usage!A:B,2,false), "NOT ACTIVE")</f>
        <v>NOT ACTIVE</v>
      </c>
      <c r="I353" s="6" t="str">
        <f t="array" ref="I353">INDEX(DvP!$B$2:$F$31,MATCH($E353,DvP!$A$2:$A$31,0),MATCH($A353,DvP!$B$1:$F$1,0))</f>
        <v>#N/A</v>
      </c>
      <c r="J353" s="8" t="str">
        <f t="array" ref="J353">INDEX(DvA!$B$2:$I$31,MATCH($E353,DvA!$A$2:$A$31,0),MATCH($K353,DvA!$B$1:$I$1,0))</f>
        <v>#N/A</v>
      </c>
      <c r="K353" s="8" t="str">
        <f>VLOOKUP(B353,archtypes!A:B,2,false)</f>
        <v>#N/A</v>
      </c>
      <c r="L353" s="8">
        <f t="shared" si="2"/>
        <v>0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13"/>
      <c r="C354" s="13"/>
      <c r="D354" s="13"/>
      <c r="E354" s="10"/>
      <c r="F354" s="7"/>
      <c r="G354" s="8" t="str">
        <f t="shared" si="1"/>
        <v>NOT ACTIVE</v>
      </c>
      <c r="H354" s="6" t="str">
        <f>iferror(VLOOKUP(B354,usage!A:B,2,false), "NOT ACTIVE")</f>
        <v>NOT ACTIVE</v>
      </c>
      <c r="I354" s="6" t="str">
        <f t="array" ref="I354">INDEX(DvP!$B$2:$F$31,MATCH($E354,DvP!$A$2:$A$31,0),MATCH($A354,DvP!$B$1:$F$1,0))</f>
        <v>#N/A</v>
      </c>
      <c r="J354" s="8" t="str">
        <f t="array" ref="J354">INDEX(DvA!$B$2:$I$31,MATCH($E354,DvA!$A$2:$A$31,0),MATCH($K354,DvA!$B$1:$I$1,0))</f>
        <v>#N/A</v>
      </c>
      <c r="K354" s="8" t="str">
        <f>VLOOKUP(B354,archtypes!A:B,2,false)</f>
        <v>#N/A</v>
      </c>
      <c r="L354" s="8">
        <f t="shared" si="2"/>
        <v>0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13"/>
      <c r="C355" s="13"/>
      <c r="D355" s="13"/>
      <c r="E355" s="10"/>
      <c r="F355" s="7"/>
      <c r="G355" s="8" t="str">
        <f t="shared" si="1"/>
        <v>NOT ACTIVE</v>
      </c>
      <c r="H355" s="6" t="str">
        <f>iferror(VLOOKUP(B355,usage!A:B,2,false), "NOT ACTIVE")</f>
        <v>NOT ACTIVE</v>
      </c>
      <c r="I355" s="6" t="str">
        <f t="array" ref="I355">INDEX(DvP!$B$2:$F$31,MATCH($E355,DvP!$A$2:$A$31,0),MATCH($A355,DvP!$B$1:$F$1,0))</f>
        <v>#N/A</v>
      </c>
      <c r="J355" s="8" t="str">
        <f t="array" ref="J355">INDEX(DvA!$B$2:$I$31,MATCH($E355,DvA!$A$2:$A$31,0),MATCH($K355,DvA!$B$1:$I$1,0))</f>
        <v>#N/A</v>
      </c>
      <c r="K355" s="8" t="str">
        <f>VLOOKUP(B355,archtypes!A:B,2,false)</f>
        <v>#N/A</v>
      </c>
      <c r="L355" s="8">
        <f t="shared" si="2"/>
        <v>0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13"/>
      <c r="C356" s="13"/>
      <c r="D356" s="13"/>
      <c r="E356" s="10"/>
      <c r="F356" s="7"/>
      <c r="G356" s="8" t="str">
        <f t="shared" si="1"/>
        <v>NOT ACTIVE</v>
      </c>
      <c r="H356" s="6" t="str">
        <f>iferror(VLOOKUP(B356,usage!A:B,2,false), "NOT ACTIVE")</f>
        <v>NOT ACTIVE</v>
      </c>
      <c r="I356" s="6" t="str">
        <f t="array" ref="I356">INDEX(DvP!$B$2:$F$31,MATCH($E356,DvP!$A$2:$A$31,0),MATCH($A356,DvP!$B$1:$F$1,0))</f>
        <v>#N/A</v>
      </c>
      <c r="J356" s="8" t="str">
        <f t="array" ref="J356">INDEX(DvA!$B$2:$I$31,MATCH($E356,DvA!$A$2:$A$31,0),MATCH($K356,DvA!$B$1:$I$1,0))</f>
        <v>#N/A</v>
      </c>
      <c r="K356" s="8" t="str">
        <f>VLOOKUP(B356,archtypes!A:B,2,false)</f>
        <v>#N/A</v>
      </c>
      <c r="L356" s="8">
        <f t="shared" si="2"/>
        <v>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13"/>
      <c r="C357" s="13"/>
      <c r="D357" s="13"/>
      <c r="E357" s="10"/>
      <c r="F357" s="7"/>
      <c r="G357" s="8" t="str">
        <f t="shared" si="1"/>
        <v>NOT ACTIVE</v>
      </c>
      <c r="H357" s="6" t="str">
        <f>iferror(VLOOKUP(B357,usage!A:B,2,false), "NOT ACTIVE")</f>
        <v>NOT ACTIVE</v>
      </c>
      <c r="I357" s="6" t="str">
        <f t="array" ref="I357">INDEX(DvP!$B$2:$F$31,MATCH($E357,DvP!$A$2:$A$31,0),MATCH($A357,DvP!$B$1:$F$1,0))</f>
        <v>#N/A</v>
      </c>
      <c r="J357" s="8" t="str">
        <f t="array" ref="J357">INDEX(DvA!$B$2:$I$31,MATCH($E357,DvA!$A$2:$A$31,0),MATCH($K357,DvA!$B$1:$I$1,0))</f>
        <v>#N/A</v>
      </c>
      <c r="K357" s="8" t="str">
        <f>VLOOKUP(B357,archtypes!A:B,2,false)</f>
        <v>#N/A</v>
      </c>
      <c r="L357" s="8">
        <f t="shared" si="2"/>
        <v>0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13"/>
      <c r="C358" s="13"/>
      <c r="D358" s="13"/>
      <c r="E358" s="10"/>
      <c r="F358" s="7"/>
      <c r="G358" s="8" t="str">
        <f t="shared" si="1"/>
        <v>NOT ACTIVE</v>
      </c>
      <c r="H358" s="6" t="str">
        <f>iferror(VLOOKUP(B358,usage!A:B,2,false), "NOT ACTIVE")</f>
        <v>NOT ACTIVE</v>
      </c>
      <c r="I358" s="6" t="str">
        <f t="array" ref="I358">INDEX(DvP!$B$2:$F$31,MATCH($E358,DvP!$A$2:$A$31,0),MATCH($A358,DvP!$B$1:$F$1,0))</f>
        <v>#N/A</v>
      </c>
      <c r="J358" s="8" t="str">
        <f t="array" ref="J358">INDEX(DvA!$B$2:$I$31,MATCH($E358,DvA!$A$2:$A$31,0),MATCH($K358,DvA!$B$1:$I$1,0))</f>
        <v>#N/A</v>
      </c>
      <c r="K358" s="8" t="str">
        <f>VLOOKUP(B358,archtypes!A:B,2,false)</f>
        <v>#N/A</v>
      </c>
      <c r="L358" s="8">
        <f t="shared" si="2"/>
        <v>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13"/>
      <c r="C359" s="13"/>
      <c r="D359" s="13"/>
      <c r="E359" s="10"/>
      <c r="F359" s="7"/>
      <c r="G359" s="8" t="str">
        <f t="shared" si="1"/>
        <v>NOT ACTIVE</v>
      </c>
      <c r="H359" s="6" t="str">
        <f>iferror(VLOOKUP(B359,usage!A:B,2,false), "NOT ACTIVE")</f>
        <v>NOT ACTIVE</v>
      </c>
      <c r="I359" s="6" t="str">
        <f t="array" ref="I359">INDEX(DvP!$B$2:$F$31,MATCH($E359,DvP!$A$2:$A$31,0),MATCH($A359,DvP!$B$1:$F$1,0))</f>
        <v>#N/A</v>
      </c>
      <c r="J359" s="8" t="str">
        <f t="array" ref="J359">INDEX(DvA!$B$2:$I$31,MATCH($E359,DvA!$A$2:$A$31,0),MATCH($K359,DvA!$B$1:$I$1,0))</f>
        <v>#N/A</v>
      </c>
      <c r="K359" s="8" t="str">
        <f>VLOOKUP(B359,archtypes!A:B,2,false)</f>
        <v>#N/A</v>
      </c>
      <c r="L359" s="8">
        <f t="shared" si="2"/>
        <v>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13"/>
      <c r="C360" s="13"/>
      <c r="D360" s="13"/>
      <c r="E360" s="10"/>
      <c r="F360" s="7"/>
      <c r="G360" s="8" t="str">
        <f t="shared" si="1"/>
        <v>NOT ACTIVE</v>
      </c>
      <c r="H360" s="6" t="str">
        <f>iferror(VLOOKUP(B360,usage!A:B,2,false), "NOT ACTIVE")</f>
        <v>NOT ACTIVE</v>
      </c>
      <c r="I360" s="6" t="str">
        <f t="array" ref="I360">INDEX(DvP!$B$2:$F$31,MATCH($E360,DvP!$A$2:$A$31,0),MATCH($A360,DvP!$B$1:$F$1,0))</f>
        <v>#N/A</v>
      </c>
      <c r="J360" s="8" t="str">
        <f t="array" ref="J360">INDEX(DvA!$B$2:$I$31,MATCH($E360,DvA!$A$2:$A$31,0),MATCH($K360,DvA!$B$1:$I$1,0))</f>
        <v>#N/A</v>
      </c>
      <c r="K360" s="8" t="str">
        <f>VLOOKUP(B360,archtypes!A:B,2,false)</f>
        <v>#N/A</v>
      </c>
      <c r="L360" s="8">
        <f t="shared" si="2"/>
        <v>0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13"/>
      <c r="C361" s="13"/>
      <c r="D361" s="13"/>
      <c r="E361" s="10"/>
      <c r="F361" s="7"/>
      <c r="G361" s="8" t="str">
        <f t="shared" si="1"/>
        <v>NOT ACTIVE</v>
      </c>
      <c r="H361" s="6" t="str">
        <f>iferror(VLOOKUP(B361,usage!A:B,2,false), "NOT ACTIVE")</f>
        <v>NOT ACTIVE</v>
      </c>
      <c r="I361" s="6" t="str">
        <f t="array" ref="I361">INDEX(DvP!$B$2:$F$31,MATCH($E361,DvP!$A$2:$A$31,0),MATCH($A361,DvP!$B$1:$F$1,0))</f>
        <v>#N/A</v>
      </c>
      <c r="J361" s="8" t="str">
        <f t="array" ref="J361">INDEX(DvA!$B$2:$I$31,MATCH($E361,DvA!$A$2:$A$31,0),MATCH($K361,DvA!$B$1:$I$1,0))</f>
        <v>#N/A</v>
      </c>
      <c r="K361" s="8" t="str">
        <f>VLOOKUP(B361,archtypes!A:B,2,false)</f>
        <v>#N/A</v>
      </c>
      <c r="L361" s="8">
        <f t="shared" si="2"/>
        <v>0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13"/>
      <c r="C362" s="13"/>
      <c r="D362" s="13"/>
      <c r="E362" s="10"/>
      <c r="F362" s="7"/>
      <c r="G362" s="8" t="str">
        <f t="shared" si="1"/>
        <v>NOT ACTIVE</v>
      </c>
      <c r="H362" s="6" t="str">
        <f>iferror(VLOOKUP(B362,usage!A:B,2,false), "NOT ACTIVE")</f>
        <v>NOT ACTIVE</v>
      </c>
      <c r="I362" s="6" t="str">
        <f t="array" ref="I362">INDEX(DvP!$B$2:$F$31,MATCH($E362,DvP!$A$2:$A$31,0),MATCH($A362,DvP!$B$1:$F$1,0))</f>
        <v>#N/A</v>
      </c>
      <c r="J362" s="8" t="str">
        <f t="array" ref="J362">INDEX(DvA!$B$2:$I$31,MATCH($E362,DvA!$A$2:$A$31,0),MATCH($K362,DvA!$B$1:$I$1,0))</f>
        <v>#N/A</v>
      </c>
      <c r="K362" s="8" t="str">
        <f>VLOOKUP(B362,archtypes!A:B,2,false)</f>
        <v>#N/A</v>
      </c>
      <c r="L362" s="8">
        <f t="shared" si="2"/>
        <v>0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13"/>
      <c r="C363" s="13"/>
      <c r="D363" s="13"/>
      <c r="E363" s="10"/>
      <c r="F363" s="7"/>
      <c r="G363" s="8" t="str">
        <f t="shared" si="1"/>
        <v>NOT ACTIVE</v>
      </c>
      <c r="H363" s="6" t="str">
        <f>iferror(VLOOKUP(B363,usage!A:B,2,false), "NOT ACTIVE")</f>
        <v>NOT ACTIVE</v>
      </c>
      <c r="I363" s="6" t="str">
        <f t="array" ref="I363">INDEX(DvP!$B$2:$F$31,MATCH($E363,DvP!$A$2:$A$31,0),MATCH($A363,DvP!$B$1:$F$1,0))</f>
        <v>#N/A</v>
      </c>
      <c r="J363" s="8" t="str">
        <f t="array" ref="J363">INDEX(DvA!$B$2:$I$31,MATCH($E363,DvA!$A$2:$A$31,0),MATCH($K363,DvA!$B$1:$I$1,0))</f>
        <v>#N/A</v>
      </c>
      <c r="K363" s="8" t="str">
        <f>VLOOKUP(B363,archtypes!A:B,2,false)</f>
        <v>#N/A</v>
      </c>
      <c r="L363" s="8">
        <f t="shared" si="2"/>
        <v>0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13"/>
      <c r="C364" s="13"/>
      <c r="D364" s="13"/>
      <c r="E364" s="10"/>
      <c r="F364" s="7"/>
      <c r="G364" s="8" t="str">
        <f t="shared" si="1"/>
        <v>NOT ACTIVE</v>
      </c>
      <c r="H364" s="6" t="str">
        <f>iferror(VLOOKUP(B364,usage!A:B,2,false), "NOT ACTIVE")</f>
        <v>NOT ACTIVE</v>
      </c>
      <c r="I364" s="6" t="str">
        <f t="array" ref="I364">INDEX(DvP!$B$2:$F$31,MATCH($E364,DvP!$A$2:$A$31,0),MATCH($A364,DvP!$B$1:$F$1,0))</f>
        <v>#N/A</v>
      </c>
      <c r="J364" s="8" t="str">
        <f t="array" ref="J364">INDEX(DvA!$B$2:$I$31,MATCH($E364,DvA!$A$2:$A$31,0),MATCH($K364,DvA!$B$1:$I$1,0))</f>
        <v>#N/A</v>
      </c>
      <c r="K364" s="8" t="str">
        <f>VLOOKUP(B364,archtypes!A:B,2,false)</f>
        <v>#N/A</v>
      </c>
      <c r="L364" s="8">
        <f t="shared" si="2"/>
        <v>0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13"/>
      <c r="C365" s="13"/>
      <c r="D365" s="13"/>
      <c r="E365" s="10"/>
      <c r="F365" s="7"/>
      <c r="G365" s="8" t="str">
        <f t="shared" si="1"/>
        <v>NOT ACTIVE</v>
      </c>
      <c r="H365" s="6" t="str">
        <f>iferror(VLOOKUP(B365,usage!A:B,2,false), "NOT ACTIVE")</f>
        <v>NOT ACTIVE</v>
      </c>
      <c r="I365" s="6" t="str">
        <f t="array" ref="I365">INDEX(DvP!$B$2:$F$31,MATCH($E365,DvP!$A$2:$A$31,0),MATCH($A365,DvP!$B$1:$F$1,0))</f>
        <v>#N/A</v>
      </c>
      <c r="J365" s="8" t="str">
        <f t="array" ref="J365">INDEX(DvA!$B$2:$I$31,MATCH($E365,DvA!$A$2:$A$31,0),MATCH($K365,DvA!$B$1:$I$1,0))</f>
        <v>#N/A</v>
      </c>
      <c r="K365" s="8" t="str">
        <f>VLOOKUP(B365,archtypes!A:B,2,false)</f>
        <v>#N/A</v>
      </c>
      <c r="L365" s="8">
        <f t="shared" si="2"/>
        <v>0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13"/>
      <c r="C366" s="13"/>
      <c r="D366" s="13"/>
      <c r="E366" s="10"/>
      <c r="F366" s="7"/>
      <c r="G366" s="8" t="str">
        <f t="shared" si="1"/>
        <v>NOT ACTIVE</v>
      </c>
      <c r="H366" s="6" t="str">
        <f>iferror(VLOOKUP(B366,usage!A:B,2,false), "NOT ACTIVE")</f>
        <v>NOT ACTIVE</v>
      </c>
      <c r="I366" s="6" t="str">
        <f t="array" ref="I366">INDEX(DvP!$B$2:$F$31,MATCH($E366,DvP!$A$2:$A$31,0),MATCH($A366,DvP!$B$1:$F$1,0))</f>
        <v>#N/A</v>
      </c>
      <c r="J366" s="8" t="str">
        <f t="array" ref="J366">INDEX(DvA!$B$2:$I$31,MATCH($E366,DvA!$A$2:$A$31,0),MATCH($K366,DvA!$B$1:$I$1,0))</f>
        <v>#N/A</v>
      </c>
      <c r="K366" s="8" t="str">
        <f>VLOOKUP(B366,archtypes!A:B,2,false)</f>
        <v>#N/A</v>
      </c>
      <c r="L366" s="8">
        <f t="shared" si="2"/>
        <v>0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13"/>
      <c r="C367" s="13"/>
      <c r="D367" s="13"/>
      <c r="E367" s="10"/>
      <c r="F367" s="7"/>
      <c r="G367" s="8" t="str">
        <f t="shared" si="1"/>
        <v>NOT ACTIVE</v>
      </c>
      <c r="H367" s="6" t="str">
        <f>iferror(VLOOKUP(B367,usage!A:B,2,false), "NOT ACTIVE")</f>
        <v>NOT ACTIVE</v>
      </c>
      <c r="I367" s="6" t="str">
        <f t="array" ref="I367">INDEX(DvP!$B$2:$F$31,MATCH($E367,DvP!$A$2:$A$31,0),MATCH($A367,DvP!$B$1:$F$1,0))</f>
        <v>#N/A</v>
      </c>
      <c r="J367" s="8" t="str">
        <f t="array" ref="J367">INDEX(DvA!$B$2:$I$31,MATCH($E367,DvA!$A$2:$A$31,0),MATCH($K367,DvA!$B$1:$I$1,0))</f>
        <v>#N/A</v>
      </c>
      <c r="K367" s="8" t="str">
        <f>VLOOKUP(B367,archtypes!A:B,2,false)</f>
        <v>#N/A</v>
      </c>
      <c r="L367" s="8">
        <f t="shared" si="2"/>
        <v>0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13"/>
      <c r="C368" s="13"/>
      <c r="D368" s="13"/>
      <c r="E368" s="10"/>
      <c r="F368" s="7"/>
      <c r="G368" s="8" t="str">
        <f t="shared" si="1"/>
        <v>NOT ACTIVE</v>
      </c>
      <c r="H368" s="6" t="str">
        <f>iferror(VLOOKUP(B368,usage!A:B,2,false), "NOT ACTIVE")</f>
        <v>NOT ACTIVE</v>
      </c>
      <c r="I368" s="6" t="str">
        <f t="array" ref="I368">INDEX(DvP!$B$2:$F$31,MATCH($E368,DvP!$A$2:$A$31,0),MATCH($A368,DvP!$B$1:$F$1,0))</f>
        <v>#N/A</v>
      </c>
      <c r="J368" s="8" t="str">
        <f t="array" ref="J368">INDEX(DvA!$B$2:$I$31,MATCH($E368,DvA!$A$2:$A$31,0),MATCH($K368,DvA!$B$1:$I$1,0))</f>
        <v>#N/A</v>
      </c>
      <c r="K368" s="8" t="str">
        <f>VLOOKUP(B368,archtypes!A:B,2,false)</f>
        <v>#N/A</v>
      </c>
      <c r="L368" s="8">
        <f t="shared" si="2"/>
        <v>0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13"/>
      <c r="C369" s="13"/>
      <c r="D369" s="13"/>
      <c r="E369" s="9"/>
      <c r="F369" s="7"/>
      <c r="G369" s="8"/>
      <c r="H369" s="6"/>
      <c r="I369" s="6"/>
      <c r="J369" s="8"/>
      <c r="K369" s="8"/>
      <c r="L369" s="8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13"/>
      <c r="C370" s="13"/>
      <c r="D370" s="13"/>
      <c r="E370" s="9"/>
      <c r="F370" s="7"/>
      <c r="G370" s="8"/>
      <c r="H370" s="6"/>
      <c r="I370" s="6"/>
      <c r="J370" s="8"/>
      <c r="K370" s="8"/>
      <c r="L370" s="8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13"/>
      <c r="C371" s="13"/>
      <c r="D371" s="13"/>
      <c r="E371" s="9"/>
      <c r="F371" s="7"/>
      <c r="G371" s="8"/>
      <c r="H371" s="6"/>
      <c r="I371" s="6"/>
      <c r="J371" s="8"/>
      <c r="K371" s="8"/>
      <c r="L371" s="8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13"/>
      <c r="C372" s="13"/>
      <c r="D372" s="13"/>
      <c r="E372" s="9"/>
      <c r="F372" s="7"/>
      <c r="G372" s="8"/>
      <c r="H372" s="6"/>
      <c r="I372" s="6"/>
      <c r="J372" s="8"/>
      <c r="K372" s="8"/>
      <c r="L372" s="8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13"/>
      <c r="C373" s="13"/>
      <c r="D373" s="13"/>
      <c r="E373" s="9"/>
      <c r="F373" s="7"/>
      <c r="G373" s="8"/>
      <c r="H373" s="6"/>
      <c r="I373" s="6"/>
      <c r="J373" s="8"/>
      <c r="K373" s="8"/>
      <c r="L373" s="8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13"/>
      <c r="C374" s="13"/>
      <c r="D374" s="13"/>
      <c r="E374" s="9"/>
      <c r="F374" s="7"/>
      <c r="G374" s="8"/>
      <c r="H374" s="6"/>
      <c r="I374" s="6"/>
      <c r="J374" s="8"/>
      <c r="K374" s="8"/>
      <c r="L374" s="8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13"/>
      <c r="C375" s="13"/>
      <c r="D375" s="13"/>
      <c r="E375" s="9"/>
      <c r="F375" s="7"/>
      <c r="G375" s="8"/>
      <c r="H375" s="6"/>
      <c r="I375" s="6"/>
      <c r="J375" s="8"/>
      <c r="K375" s="8"/>
      <c r="L375" s="8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13"/>
      <c r="C376" s="13"/>
      <c r="D376" s="13"/>
      <c r="E376" s="9"/>
      <c r="F376" s="7"/>
      <c r="G376" s="8"/>
      <c r="H376" s="6"/>
      <c r="I376" s="6"/>
      <c r="J376" s="8"/>
      <c r="K376" s="8"/>
      <c r="L376" s="8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13"/>
      <c r="C377" s="13"/>
      <c r="D377" s="13"/>
      <c r="E377" s="9"/>
      <c r="F377" s="7"/>
      <c r="G377" s="8"/>
      <c r="H377" s="6"/>
      <c r="I377" s="6"/>
      <c r="J377" s="8"/>
      <c r="K377" s="8"/>
      <c r="L377" s="8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13"/>
      <c r="C378" s="13"/>
      <c r="D378" s="13"/>
      <c r="E378" s="9"/>
      <c r="F378" s="7"/>
      <c r="G378" s="8"/>
      <c r="H378" s="6"/>
      <c r="I378" s="6"/>
      <c r="J378" s="8"/>
      <c r="K378" s="8"/>
      <c r="L378" s="8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13"/>
      <c r="C379" s="13"/>
      <c r="D379" s="13"/>
      <c r="E379" s="9"/>
      <c r="F379" s="7"/>
      <c r="G379" s="8"/>
      <c r="H379" s="6"/>
      <c r="I379" s="6"/>
      <c r="J379" s="8"/>
      <c r="K379" s="8"/>
      <c r="L379" s="8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13"/>
      <c r="C380" s="13"/>
      <c r="D380" s="13"/>
      <c r="E380" s="9"/>
      <c r="F380" s="7"/>
      <c r="G380" s="8"/>
      <c r="H380" s="6"/>
      <c r="I380" s="6"/>
      <c r="J380" s="8"/>
      <c r="K380" s="8"/>
      <c r="L380" s="8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13"/>
      <c r="C381" s="13"/>
      <c r="D381" s="13"/>
      <c r="E381" s="9"/>
      <c r="F381" s="7"/>
      <c r="G381" s="8"/>
      <c r="H381" s="6"/>
      <c r="I381" s="6"/>
      <c r="J381" s="8"/>
      <c r="K381" s="8"/>
      <c r="L381" s="8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13"/>
      <c r="C382" s="13"/>
      <c r="D382" s="13"/>
      <c r="E382" s="9"/>
      <c r="F382" s="7"/>
      <c r="G382" s="8"/>
      <c r="H382" s="6"/>
      <c r="I382" s="6"/>
      <c r="J382" s="8"/>
      <c r="K382" s="8"/>
      <c r="L382" s="8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13"/>
      <c r="C383" s="13"/>
      <c r="D383" s="13"/>
      <c r="E383" s="9"/>
      <c r="F383" s="7"/>
      <c r="G383" s="8"/>
      <c r="H383" s="6"/>
      <c r="I383" s="6"/>
      <c r="J383" s="8"/>
      <c r="K383" s="8"/>
      <c r="L383" s="8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13"/>
      <c r="C384" s="13"/>
      <c r="D384" s="13"/>
      <c r="E384" s="9"/>
      <c r="F384" s="7"/>
      <c r="G384" s="8"/>
      <c r="H384" s="6"/>
      <c r="I384" s="6"/>
      <c r="J384" s="8"/>
      <c r="K384" s="8"/>
      <c r="L384" s="8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13"/>
      <c r="C385" s="13"/>
      <c r="D385" s="13"/>
      <c r="E385" s="9"/>
      <c r="F385" s="7"/>
      <c r="G385" s="8"/>
      <c r="H385" s="6"/>
      <c r="I385" s="6"/>
      <c r="J385" s="8"/>
      <c r="K385" s="8"/>
      <c r="L385" s="8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13"/>
      <c r="C386" s="13"/>
      <c r="D386" s="13"/>
      <c r="E386" s="9"/>
      <c r="F386" s="7"/>
      <c r="G386" s="8"/>
      <c r="H386" s="6"/>
      <c r="I386" s="6"/>
      <c r="J386" s="8"/>
      <c r="K386" s="8"/>
      <c r="L386" s="8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13"/>
      <c r="C387" s="13"/>
      <c r="D387" s="13"/>
      <c r="E387" s="9"/>
      <c r="F387" s="7"/>
      <c r="G387" s="8"/>
      <c r="H387" s="6"/>
      <c r="I387" s="6"/>
      <c r="J387" s="8"/>
      <c r="K387" s="8"/>
      <c r="L387" s="8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13"/>
      <c r="C388" s="13"/>
      <c r="D388" s="13"/>
      <c r="E388" s="9"/>
      <c r="F388" s="7"/>
      <c r="G388" s="8"/>
      <c r="H388" s="6"/>
      <c r="I388" s="6"/>
      <c r="J388" s="8"/>
      <c r="K388" s="8"/>
      <c r="L388" s="8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13"/>
      <c r="C389" s="13"/>
      <c r="D389" s="13"/>
      <c r="E389" s="9"/>
      <c r="F389" s="7"/>
      <c r="G389" s="8"/>
      <c r="H389" s="6"/>
      <c r="I389" s="6"/>
      <c r="J389" s="8"/>
      <c r="K389" s="8"/>
      <c r="L389" s="8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13"/>
      <c r="C390" s="13"/>
      <c r="D390" s="13"/>
      <c r="E390" s="9"/>
      <c r="F390" s="7"/>
      <c r="G390" s="8"/>
      <c r="H390" s="6"/>
      <c r="I390" s="6"/>
      <c r="J390" s="8"/>
      <c r="K390" s="8"/>
      <c r="L390" s="8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13"/>
      <c r="C391" s="13"/>
      <c r="D391" s="13"/>
      <c r="E391" s="9"/>
      <c r="F391" s="7"/>
      <c r="G391" s="8"/>
      <c r="H391" s="6"/>
      <c r="I391" s="6"/>
      <c r="J391" s="8"/>
      <c r="K391" s="8"/>
      <c r="L391" s="8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13"/>
      <c r="C392" s="13"/>
      <c r="D392" s="13"/>
      <c r="E392" s="9"/>
      <c r="F392" s="7"/>
      <c r="G392" s="8"/>
      <c r="H392" s="6"/>
      <c r="I392" s="6"/>
      <c r="J392" s="8"/>
      <c r="K392" s="8"/>
      <c r="L392" s="8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13"/>
      <c r="C393" s="13"/>
      <c r="D393" s="13"/>
      <c r="E393" s="9"/>
      <c r="F393" s="7"/>
      <c r="G393" s="8"/>
      <c r="H393" s="6"/>
      <c r="I393" s="6"/>
      <c r="J393" s="8"/>
      <c r="K393" s="8"/>
      <c r="L393" s="8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13"/>
      <c r="C394" s="13"/>
      <c r="D394" s="13"/>
      <c r="E394" s="9"/>
      <c r="F394" s="7"/>
      <c r="G394" s="8"/>
      <c r="H394" s="6"/>
      <c r="I394" s="6"/>
      <c r="J394" s="8"/>
      <c r="K394" s="8"/>
      <c r="L394" s="8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13"/>
      <c r="C395" s="13"/>
      <c r="D395" s="13"/>
      <c r="E395" s="9"/>
      <c r="F395" s="7"/>
      <c r="G395" s="8"/>
      <c r="H395" s="6"/>
      <c r="I395" s="6"/>
      <c r="J395" s="8"/>
      <c r="K395" s="8"/>
      <c r="L395" s="8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13"/>
      <c r="C396" s="13"/>
      <c r="D396" s="13"/>
      <c r="E396" s="9"/>
      <c r="F396" s="7"/>
      <c r="G396" s="8"/>
      <c r="H396" s="6"/>
      <c r="I396" s="6"/>
      <c r="J396" s="8"/>
      <c r="K396" s="8"/>
      <c r="L396" s="8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13"/>
      <c r="C397" s="13"/>
      <c r="D397" s="13"/>
      <c r="E397" s="9"/>
      <c r="F397" s="7"/>
      <c r="G397" s="8"/>
      <c r="H397" s="6"/>
      <c r="I397" s="6"/>
      <c r="J397" s="8"/>
      <c r="K397" s="8"/>
      <c r="L397" s="8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13"/>
      <c r="C398" s="13"/>
      <c r="D398" s="13"/>
      <c r="E398" s="9"/>
      <c r="F398" s="7"/>
      <c r="G398" s="8"/>
      <c r="H398" s="6"/>
      <c r="I398" s="6"/>
      <c r="J398" s="8"/>
      <c r="K398" s="8"/>
      <c r="L398" s="8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13"/>
      <c r="C399" s="13"/>
      <c r="D399" s="13"/>
      <c r="E399" s="9"/>
      <c r="F399" s="7"/>
      <c r="G399" s="8"/>
      <c r="H399" s="6"/>
      <c r="I399" s="6"/>
      <c r="J399" s="8"/>
      <c r="K399" s="8"/>
      <c r="L399" s="8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13"/>
      <c r="C400" s="13"/>
      <c r="D400" s="13"/>
      <c r="E400" s="9"/>
      <c r="F400" s="7"/>
      <c r="G400" s="8"/>
      <c r="H400" s="6"/>
      <c r="I400" s="6"/>
      <c r="J400" s="8"/>
      <c r="K400" s="8"/>
      <c r="L400" s="8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13"/>
      <c r="C401" s="13"/>
      <c r="D401" s="13"/>
      <c r="E401" s="9"/>
      <c r="F401" s="7"/>
      <c r="G401" s="8"/>
      <c r="H401" s="6"/>
      <c r="I401" s="6"/>
      <c r="J401" s="8"/>
      <c r="K401" s="8"/>
      <c r="L401" s="8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13"/>
      <c r="C402" s="13"/>
      <c r="D402" s="13"/>
      <c r="E402" s="9"/>
      <c r="F402" s="7"/>
      <c r="G402" s="8"/>
      <c r="H402" s="6"/>
      <c r="I402" s="6"/>
      <c r="J402" s="8"/>
      <c r="K402" s="8"/>
      <c r="L402" s="8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13"/>
      <c r="C403" s="13"/>
      <c r="D403" s="13"/>
      <c r="E403" s="9"/>
      <c r="F403" s="7"/>
      <c r="G403" s="8"/>
      <c r="H403" s="6"/>
      <c r="I403" s="6"/>
      <c r="J403" s="8"/>
      <c r="K403" s="8"/>
      <c r="L403" s="8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13"/>
      <c r="C404" s="13"/>
      <c r="D404" s="13"/>
      <c r="E404" s="9"/>
      <c r="F404" s="7"/>
      <c r="G404" s="8"/>
      <c r="H404" s="6"/>
      <c r="I404" s="6"/>
      <c r="J404" s="8"/>
      <c r="K404" s="8"/>
      <c r="L404" s="8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13"/>
      <c r="C405" s="13"/>
      <c r="D405" s="13"/>
      <c r="E405" s="9"/>
      <c r="F405" s="7"/>
      <c r="G405" s="8"/>
      <c r="H405" s="6"/>
      <c r="I405" s="6"/>
      <c r="J405" s="8"/>
      <c r="K405" s="8"/>
      <c r="L405" s="8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13"/>
      <c r="C406" s="13"/>
      <c r="D406" s="13"/>
      <c r="E406" s="9"/>
      <c r="F406" s="7"/>
      <c r="G406" s="8"/>
      <c r="H406" s="6"/>
      <c r="I406" s="6"/>
      <c r="J406" s="8"/>
      <c r="K406" s="8"/>
      <c r="L406" s="8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13"/>
      <c r="C407" s="13"/>
      <c r="D407" s="13"/>
      <c r="E407" s="9"/>
      <c r="F407" s="7"/>
      <c r="G407" s="8"/>
      <c r="H407" s="6"/>
      <c r="I407" s="6"/>
      <c r="J407" s="8"/>
      <c r="K407" s="8"/>
      <c r="L407" s="8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13"/>
      <c r="C408" s="13"/>
      <c r="D408" s="13"/>
      <c r="E408" s="9"/>
      <c r="F408" s="7"/>
      <c r="G408" s="8"/>
      <c r="H408" s="6"/>
      <c r="I408" s="6"/>
      <c r="J408" s="8"/>
      <c r="K408" s="8"/>
      <c r="L408" s="8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13"/>
      <c r="C409" s="13"/>
      <c r="D409" s="13"/>
      <c r="E409" s="9"/>
      <c r="F409" s="7"/>
      <c r="G409" s="8"/>
      <c r="H409" s="6"/>
      <c r="I409" s="6"/>
      <c r="J409" s="8"/>
      <c r="K409" s="8"/>
      <c r="L409" s="8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13"/>
      <c r="C410" s="13"/>
      <c r="D410" s="13"/>
      <c r="E410" s="9"/>
      <c r="F410" s="7"/>
      <c r="G410" s="8"/>
      <c r="H410" s="6"/>
      <c r="I410" s="6"/>
      <c r="J410" s="8"/>
      <c r="K410" s="8"/>
      <c r="L410" s="8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13"/>
      <c r="C411" s="13"/>
      <c r="D411" s="13"/>
      <c r="E411" s="9"/>
      <c r="F411" s="7"/>
      <c r="G411" s="8"/>
      <c r="H411" s="6"/>
      <c r="I411" s="6"/>
      <c r="J411" s="8"/>
      <c r="K411" s="8"/>
      <c r="L411" s="8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13"/>
      <c r="C412" s="13"/>
      <c r="D412" s="13"/>
      <c r="E412" s="9"/>
      <c r="F412" s="7"/>
      <c r="G412" s="8"/>
      <c r="H412" s="6"/>
      <c r="I412" s="6"/>
      <c r="J412" s="8"/>
      <c r="K412" s="8"/>
      <c r="L412" s="8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13"/>
      <c r="C413" s="13"/>
      <c r="D413" s="13"/>
      <c r="E413" s="9"/>
      <c r="F413" s="7"/>
      <c r="G413" s="8"/>
      <c r="H413" s="6"/>
      <c r="I413" s="6"/>
      <c r="J413" s="8"/>
      <c r="K413" s="8"/>
      <c r="L413" s="8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13"/>
      <c r="C414" s="13"/>
      <c r="D414" s="13"/>
      <c r="E414" s="9"/>
      <c r="F414" s="7"/>
      <c r="G414" s="8"/>
      <c r="H414" s="6"/>
      <c r="I414" s="6"/>
      <c r="J414" s="8"/>
      <c r="K414" s="8"/>
      <c r="L414" s="8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13"/>
      <c r="C415" s="13"/>
      <c r="D415" s="13"/>
      <c r="E415" s="9"/>
      <c r="F415" s="7"/>
      <c r="G415" s="8"/>
      <c r="H415" s="6"/>
      <c r="I415" s="6"/>
      <c r="J415" s="8"/>
      <c r="K415" s="8"/>
      <c r="L415" s="8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13"/>
      <c r="C416" s="13"/>
      <c r="D416" s="13"/>
      <c r="E416" s="9"/>
      <c r="F416" s="7"/>
      <c r="G416" s="8"/>
      <c r="H416" s="6"/>
      <c r="I416" s="6"/>
      <c r="J416" s="8"/>
      <c r="K416" s="8"/>
      <c r="L416" s="8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13"/>
      <c r="C417" s="13"/>
      <c r="D417" s="13"/>
      <c r="E417" s="9"/>
      <c r="F417" s="7"/>
      <c r="G417" s="8"/>
      <c r="H417" s="6"/>
      <c r="I417" s="6"/>
      <c r="J417" s="8"/>
      <c r="K417" s="8"/>
      <c r="L417" s="8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13"/>
      <c r="C418" s="13"/>
      <c r="D418" s="13"/>
      <c r="E418" s="9"/>
      <c r="F418" s="7"/>
      <c r="G418" s="8"/>
      <c r="H418" s="6"/>
      <c r="I418" s="6"/>
      <c r="J418" s="8"/>
      <c r="K418" s="8"/>
      <c r="L418" s="8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13"/>
      <c r="C419" s="13"/>
      <c r="D419" s="13"/>
      <c r="E419" s="9"/>
      <c r="F419" s="7"/>
      <c r="G419" s="8"/>
      <c r="H419" s="6"/>
      <c r="I419" s="6"/>
      <c r="J419" s="8"/>
      <c r="K419" s="8"/>
      <c r="L419" s="8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13"/>
      <c r="C420" s="13"/>
      <c r="D420" s="13"/>
      <c r="E420" s="9"/>
      <c r="F420" s="7"/>
      <c r="G420" s="8"/>
      <c r="H420" s="6"/>
      <c r="I420" s="6"/>
      <c r="J420" s="8"/>
      <c r="K420" s="8"/>
      <c r="L420" s="8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13"/>
      <c r="C421" s="13"/>
      <c r="D421" s="13"/>
      <c r="E421" s="9"/>
      <c r="F421" s="7"/>
      <c r="G421" s="8"/>
      <c r="H421" s="6"/>
      <c r="I421" s="6"/>
      <c r="J421" s="8"/>
      <c r="K421" s="8"/>
      <c r="L421" s="8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13"/>
      <c r="C422" s="13"/>
      <c r="D422" s="13"/>
      <c r="E422" s="9"/>
      <c r="F422" s="7"/>
      <c r="G422" s="8"/>
      <c r="H422" s="6"/>
      <c r="I422" s="6"/>
      <c r="J422" s="8"/>
      <c r="K422" s="8"/>
      <c r="L422" s="8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13"/>
      <c r="C423" s="13"/>
      <c r="D423" s="13"/>
      <c r="E423" s="9"/>
      <c r="F423" s="7"/>
      <c r="G423" s="8"/>
      <c r="H423" s="6"/>
      <c r="I423" s="6"/>
      <c r="J423" s="8"/>
      <c r="K423" s="8"/>
      <c r="L423" s="8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13"/>
      <c r="C424" s="13"/>
      <c r="D424" s="13"/>
      <c r="E424" s="9"/>
      <c r="F424" s="7"/>
      <c r="G424" s="8"/>
      <c r="H424" s="6"/>
      <c r="I424" s="6"/>
      <c r="J424" s="8"/>
      <c r="K424" s="8"/>
      <c r="L424" s="8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13"/>
      <c r="C425" s="13"/>
      <c r="D425" s="13"/>
      <c r="E425" s="9"/>
      <c r="F425" s="7"/>
      <c r="G425" s="8"/>
      <c r="H425" s="6"/>
      <c r="I425" s="6"/>
      <c r="J425" s="8"/>
      <c r="K425" s="8"/>
      <c r="L425" s="8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13"/>
      <c r="C426" s="13"/>
      <c r="D426" s="13"/>
      <c r="E426" s="9"/>
      <c r="F426" s="7"/>
      <c r="G426" s="8"/>
      <c r="H426" s="6"/>
      <c r="I426" s="6"/>
      <c r="J426" s="8"/>
      <c r="K426" s="8"/>
      <c r="L426" s="8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13"/>
      <c r="C427" s="13"/>
      <c r="D427" s="13"/>
      <c r="E427" s="9"/>
      <c r="F427" s="7"/>
      <c r="G427" s="8"/>
      <c r="H427" s="6"/>
      <c r="I427" s="6"/>
      <c r="J427" s="8"/>
      <c r="K427" s="8"/>
      <c r="L427" s="8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13"/>
      <c r="C428" s="13"/>
      <c r="D428" s="13"/>
      <c r="E428" s="9"/>
      <c r="F428" s="7"/>
      <c r="G428" s="8"/>
      <c r="H428" s="6"/>
      <c r="I428" s="6"/>
      <c r="J428" s="8"/>
      <c r="K428" s="8"/>
      <c r="L428" s="8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13"/>
      <c r="C429" s="13"/>
      <c r="D429" s="13"/>
      <c r="E429" s="9"/>
      <c r="F429" s="7"/>
      <c r="G429" s="8"/>
      <c r="H429" s="6"/>
      <c r="I429" s="6"/>
      <c r="J429" s="8"/>
      <c r="K429" s="8"/>
      <c r="L429" s="8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13"/>
      <c r="C430" s="13"/>
      <c r="D430" s="13"/>
      <c r="E430" s="9"/>
      <c r="F430" s="7"/>
      <c r="G430" s="8"/>
      <c r="H430" s="6"/>
      <c r="I430" s="6"/>
      <c r="J430" s="8"/>
      <c r="K430" s="8"/>
      <c r="L430" s="8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13"/>
      <c r="C431" s="13"/>
      <c r="D431" s="13"/>
      <c r="E431" s="9"/>
      <c r="F431" s="7"/>
      <c r="G431" s="8"/>
      <c r="H431" s="6"/>
      <c r="I431" s="6"/>
      <c r="J431" s="8"/>
      <c r="K431" s="8"/>
      <c r="L431" s="8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13"/>
      <c r="C432" s="13"/>
      <c r="D432" s="13"/>
      <c r="E432" s="9"/>
      <c r="F432" s="7"/>
      <c r="G432" s="8"/>
      <c r="H432" s="6"/>
      <c r="I432" s="6"/>
      <c r="J432" s="8"/>
      <c r="K432" s="8"/>
      <c r="L432" s="8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13"/>
      <c r="C433" s="13"/>
      <c r="D433" s="13"/>
      <c r="E433" s="9"/>
      <c r="F433" s="7"/>
      <c r="G433" s="8"/>
      <c r="H433" s="6"/>
      <c r="I433" s="6"/>
      <c r="J433" s="8"/>
      <c r="K433" s="8"/>
      <c r="L433" s="8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13"/>
      <c r="C434" s="13"/>
      <c r="D434" s="13"/>
      <c r="E434" s="9"/>
      <c r="F434" s="7"/>
      <c r="G434" s="8"/>
      <c r="H434" s="6"/>
      <c r="I434" s="6"/>
      <c r="J434" s="8"/>
      <c r="K434" s="8"/>
      <c r="L434" s="8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13"/>
      <c r="C435" s="13"/>
      <c r="D435" s="13"/>
      <c r="E435" s="9"/>
      <c r="F435" s="7"/>
      <c r="G435" s="8"/>
      <c r="H435" s="6"/>
      <c r="I435" s="6"/>
      <c r="J435" s="8"/>
      <c r="K435" s="8"/>
      <c r="L435" s="8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13"/>
      <c r="C436" s="13"/>
      <c r="D436" s="13"/>
      <c r="E436" s="9"/>
      <c r="F436" s="7"/>
      <c r="G436" s="8"/>
      <c r="H436" s="6"/>
      <c r="I436" s="6"/>
      <c r="J436" s="8"/>
      <c r="K436" s="8"/>
      <c r="L436" s="8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13"/>
      <c r="C437" s="13"/>
      <c r="D437" s="13"/>
      <c r="E437" s="9"/>
      <c r="F437" s="7"/>
      <c r="G437" s="8"/>
      <c r="H437" s="6"/>
      <c r="I437" s="6"/>
      <c r="J437" s="8"/>
      <c r="K437" s="8"/>
      <c r="L437" s="8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13"/>
      <c r="C438" s="13"/>
      <c r="D438" s="13"/>
      <c r="E438" s="9"/>
      <c r="F438" s="7"/>
      <c r="G438" s="8"/>
      <c r="H438" s="6"/>
      <c r="I438" s="6"/>
      <c r="J438" s="8"/>
      <c r="K438" s="8"/>
      <c r="L438" s="8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13"/>
      <c r="C439" s="13"/>
      <c r="D439" s="13"/>
      <c r="E439" s="9"/>
      <c r="F439" s="7"/>
      <c r="G439" s="8"/>
      <c r="H439" s="6"/>
      <c r="I439" s="6"/>
      <c r="J439" s="8"/>
      <c r="K439" s="8"/>
      <c r="L439" s="8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13"/>
      <c r="C440" s="13"/>
      <c r="D440" s="13"/>
      <c r="E440" s="9"/>
      <c r="F440" s="7"/>
      <c r="G440" s="8"/>
      <c r="H440" s="6"/>
      <c r="I440" s="6"/>
      <c r="J440" s="8"/>
      <c r="K440" s="8"/>
      <c r="L440" s="8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13"/>
      <c r="C441" s="13"/>
      <c r="D441" s="13"/>
      <c r="E441" s="9"/>
      <c r="F441" s="7"/>
      <c r="G441" s="8"/>
      <c r="H441" s="6"/>
      <c r="I441" s="6"/>
      <c r="J441" s="8"/>
      <c r="K441" s="8"/>
      <c r="L441" s="8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13"/>
      <c r="C442" s="13"/>
      <c r="D442" s="13"/>
      <c r="E442" s="9"/>
      <c r="F442" s="7"/>
      <c r="G442" s="8"/>
      <c r="H442" s="6"/>
      <c r="I442" s="6"/>
      <c r="J442" s="8"/>
      <c r="K442" s="8"/>
      <c r="L442" s="8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13"/>
      <c r="C443" s="13"/>
      <c r="D443" s="13"/>
      <c r="E443" s="9"/>
      <c r="F443" s="7"/>
      <c r="G443" s="8"/>
      <c r="H443" s="6"/>
      <c r="I443" s="6"/>
      <c r="J443" s="8"/>
      <c r="K443" s="8"/>
      <c r="L443" s="8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13"/>
      <c r="C444" s="13"/>
      <c r="D444" s="13"/>
      <c r="E444" s="9"/>
      <c r="F444" s="7"/>
      <c r="G444" s="8"/>
      <c r="H444" s="6"/>
      <c r="I444" s="6"/>
      <c r="J444" s="8"/>
      <c r="K444" s="8"/>
      <c r="L444" s="8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13"/>
      <c r="C445" s="13"/>
      <c r="D445" s="13"/>
      <c r="E445" s="9"/>
      <c r="F445" s="7"/>
      <c r="G445" s="8"/>
      <c r="H445" s="6"/>
      <c r="I445" s="6"/>
      <c r="J445" s="8"/>
      <c r="K445" s="8"/>
      <c r="L445" s="8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13"/>
      <c r="C446" s="13"/>
      <c r="D446" s="13"/>
      <c r="E446" s="9"/>
      <c r="F446" s="7"/>
      <c r="G446" s="8"/>
      <c r="H446" s="6"/>
      <c r="I446" s="6"/>
      <c r="J446" s="8"/>
      <c r="K446" s="8"/>
      <c r="L446" s="8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13"/>
      <c r="C447" s="13"/>
      <c r="D447" s="13"/>
      <c r="E447" s="9"/>
      <c r="F447" s="7"/>
      <c r="G447" s="8"/>
      <c r="H447" s="6"/>
      <c r="I447" s="6"/>
      <c r="J447" s="8"/>
      <c r="K447" s="8"/>
      <c r="L447" s="8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13"/>
      <c r="C448" s="13"/>
      <c r="D448" s="13"/>
      <c r="E448" s="9"/>
      <c r="F448" s="7"/>
      <c r="G448" s="8"/>
      <c r="H448" s="6"/>
      <c r="I448" s="6"/>
      <c r="J448" s="8"/>
      <c r="K448" s="8"/>
      <c r="L448" s="8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13"/>
      <c r="C449" s="13"/>
      <c r="D449" s="13"/>
      <c r="E449" s="9"/>
      <c r="F449" s="7"/>
      <c r="G449" s="8"/>
      <c r="H449" s="6"/>
      <c r="I449" s="6"/>
      <c r="J449" s="8"/>
      <c r="K449" s="8"/>
      <c r="L449" s="8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13"/>
      <c r="C450" s="13"/>
      <c r="D450" s="13"/>
      <c r="E450" s="9"/>
      <c r="F450" s="7"/>
      <c r="G450" s="8"/>
      <c r="H450" s="6"/>
      <c r="I450" s="6"/>
      <c r="J450" s="8"/>
      <c r="K450" s="8"/>
      <c r="L450" s="8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13"/>
      <c r="C451" s="13"/>
      <c r="D451" s="13"/>
      <c r="E451" s="9"/>
      <c r="F451" s="7"/>
      <c r="G451" s="8"/>
      <c r="H451" s="6"/>
      <c r="I451" s="6"/>
      <c r="J451" s="8"/>
      <c r="K451" s="8"/>
      <c r="L451" s="8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13"/>
      <c r="C452" s="13"/>
      <c r="D452" s="13"/>
      <c r="E452" s="9"/>
      <c r="F452" s="7"/>
      <c r="G452" s="8"/>
      <c r="H452" s="6"/>
      <c r="I452" s="6"/>
      <c r="J452" s="8"/>
      <c r="K452" s="8"/>
      <c r="L452" s="8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13"/>
      <c r="C453" s="13"/>
      <c r="D453" s="13"/>
      <c r="E453" s="9"/>
      <c r="F453" s="7"/>
      <c r="G453" s="8"/>
      <c r="H453" s="6"/>
      <c r="I453" s="6"/>
      <c r="J453" s="8"/>
      <c r="K453" s="8"/>
      <c r="L453" s="8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13"/>
      <c r="C454" s="13"/>
      <c r="D454" s="13"/>
      <c r="E454" s="9"/>
      <c r="F454" s="7"/>
      <c r="G454" s="8"/>
      <c r="H454" s="6"/>
      <c r="I454" s="6"/>
      <c r="J454" s="8"/>
      <c r="K454" s="8"/>
      <c r="L454" s="8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13"/>
      <c r="C455" s="13"/>
      <c r="D455" s="13"/>
      <c r="E455" s="9"/>
      <c r="F455" s="7"/>
      <c r="G455" s="8"/>
      <c r="H455" s="6"/>
      <c r="I455" s="6"/>
      <c r="J455" s="8"/>
      <c r="K455" s="8"/>
      <c r="L455" s="8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13"/>
      <c r="C456" s="13"/>
      <c r="D456" s="13"/>
      <c r="E456" s="9"/>
      <c r="F456" s="7"/>
      <c r="G456" s="8"/>
      <c r="H456" s="6"/>
      <c r="I456" s="6"/>
      <c r="J456" s="8"/>
      <c r="K456" s="8"/>
      <c r="L456" s="8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13"/>
      <c r="C457" s="13"/>
      <c r="D457" s="13"/>
      <c r="E457" s="9"/>
      <c r="F457" s="7"/>
      <c r="G457" s="8"/>
      <c r="H457" s="6"/>
      <c r="I457" s="6"/>
      <c r="J457" s="8"/>
      <c r="K457" s="8"/>
      <c r="L457" s="8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13"/>
      <c r="C458" s="13"/>
      <c r="D458" s="13"/>
      <c r="E458" s="9"/>
      <c r="F458" s="7"/>
      <c r="G458" s="8"/>
      <c r="H458" s="6"/>
      <c r="I458" s="6"/>
      <c r="J458" s="8"/>
      <c r="K458" s="8"/>
      <c r="L458" s="8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13"/>
      <c r="C459" s="13"/>
      <c r="D459" s="13"/>
      <c r="E459" s="9"/>
      <c r="F459" s="7"/>
      <c r="G459" s="8"/>
      <c r="H459" s="6"/>
      <c r="I459" s="6"/>
      <c r="J459" s="8"/>
      <c r="K459" s="8"/>
      <c r="L459" s="8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13"/>
      <c r="C460" s="13"/>
      <c r="D460" s="13"/>
      <c r="E460" s="9"/>
      <c r="F460" s="7"/>
      <c r="G460" s="8"/>
      <c r="H460" s="6"/>
      <c r="I460" s="6"/>
      <c r="J460" s="8"/>
      <c r="K460" s="8"/>
      <c r="L460" s="8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13"/>
      <c r="C461" s="13"/>
      <c r="D461" s="13"/>
      <c r="E461" s="9"/>
      <c r="F461" s="7"/>
      <c r="G461" s="8"/>
      <c r="H461" s="6"/>
      <c r="I461" s="6"/>
      <c r="J461" s="8"/>
      <c r="K461" s="8"/>
      <c r="L461" s="8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13"/>
      <c r="C462" s="13"/>
      <c r="D462" s="13"/>
      <c r="E462" s="9"/>
      <c r="F462" s="7"/>
      <c r="G462" s="8"/>
      <c r="H462" s="6"/>
      <c r="I462" s="6"/>
      <c r="J462" s="8"/>
      <c r="K462" s="8"/>
      <c r="L462" s="8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13"/>
      <c r="C463" s="13"/>
      <c r="D463" s="13"/>
      <c r="E463" s="9"/>
      <c r="F463" s="7"/>
      <c r="G463" s="8"/>
      <c r="H463" s="6"/>
      <c r="I463" s="6"/>
      <c r="J463" s="8"/>
      <c r="K463" s="8"/>
      <c r="L463" s="8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13"/>
      <c r="C464" s="13"/>
      <c r="D464" s="13"/>
      <c r="E464" s="9"/>
      <c r="F464" s="7"/>
      <c r="G464" s="8"/>
      <c r="H464" s="6"/>
      <c r="I464" s="6"/>
      <c r="J464" s="8"/>
      <c r="K464" s="8"/>
      <c r="L464" s="8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13"/>
      <c r="C465" s="13"/>
      <c r="D465" s="13"/>
      <c r="E465" s="9"/>
      <c r="F465" s="7"/>
      <c r="G465" s="8"/>
      <c r="H465" s="6"/>
      <c r="I465" s="6"/>
      <c r="J465" s="8"/>
      <c r="K465" s="8"/>
      <c r="L465" s="8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13"/>
      <c r="C466" s="13"/>
      <c r="D466" s="13"/>
      <c r="E466" s="9"/>
      <c r="F466" s="7"/>
      <c r="G466" s="8"/>
      <c r="H466" s="6"/>
      <c r="I466" s="6"/>
      <c r="J466" s="8"/>
      <c r="K466" s="8"/>
      <c r="L466" s="8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13"/>
      <c r="C467" s="13"/>
      <c r="D467" s="13"/>
      <c r="E467" s="9"/>
      <c r="F467" s="7"/>
      <c r="G467" s="8"/>
      <c r="H467" s="6"/>
      <c r="I467" s="6"/>
      <c r="J467" s="8"/>
      <c r="K467" s="8"/>
      <c r="L467" s="8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13"/>
      <c r="C468" s="13"/>
      <c r="D468" s="13"/>
      <c r="E468" s="9"/>
      <c r="F468" s="7"/>
      <c r="G468" s="8"/>
      <c r="H468" s="6"/>
      <c r="I468" s="6"/>
      <c r="J468" s="8"/>
      <c r="K468" s="8"/>
      <c r="L468" s="8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13"/>
      <c r="C469" s="13"/>
      <c r="D469" s="13"/>
      <c r="E469" s="9"/>
      <c r="F469" s="7"/>
      <c r="G469" s="8"/>
      <c r="H469" s="6"/>
      <c r="I469" s="6"/>
      <c r="J469" s="8"/>
      <c r="K469" s="8"/>
      <c r="L469" s="8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13"/>
      <c r="C470" s="13"/>
      <c r="D470" s="13"/>
      <c r="E470" s="9"/>
      <c r="F470" s="7"/>
      <c r="G470" s="8"/>
      <c r="H470" s="6"/>
      <c r="I470" s="6"/>
      <c r="J470" s="8"/>
      <c r="K470" s="8"/>
      <c r="L470" s="8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13"/>
      <c r="C471" s="13"/>
      <c r="D471" s="13"/>
      <c r="E471" s="9"/>
      <c r="F471" s="7"/>
      <c r="G471" s="8"/>
      <c r="H471" s="6"/>
      <c r="I471" s="6"/>
      <c r="J471" s="8"/>
      <c r="K471" s="8"/>
      <c r="L471" s="8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13"/>
      <c r="C472" s="13"/>
      <c r="D472" s="13"/>
      <c r="E472" s="9"/>
      <c r="F472" s="7"/>
      <c r="G472" s="8"/>
      <c r="H472" s="6"/>
      <c r="I472" s="6"/>
      <c r="J472" s="8"/>
      <c r="K472" s="8"/>
      <c r="L472" s="8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13"/>
      <c r="C473" s="13"/>
      <c r="D473" s="13"/>
      <c r="E473" s="9"/>
      <c r="F473" s="7"/>
      <c r="G473" s="8"/>
      <c r="H473" s="6"/>
      <c r="I473" s="6"/>
      <c r="J473" s="8"/>
      <c r="K473" s="8"/>
      <c r="L473" s="8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13"/>
      <c r="C474" s="13"/>
      <c r="D474" s="13"/>
      <c r="E474" s="9"/>
      <c r="F474" s="7"/>
      <c r="G474" s="8"/>
      <c r="H474" s="6"/>
      <c r="I474" s="6"/>
      <c r="J474" s="8"/>
      <c r="K474" s="8"/>
      <c r="L474" s="8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13"/>
      <c r="C475" s="13"/>
      <c r="D475" s="13"/>
      <c r="E475" s="9"/>
      <c r="F475" s="7"/>
      <c r="G475" s="8"/>
      <c r="H475" s="6"/>
      <c r="I475" s="6"/>
      <c r="J475" s="8"/>
      <c r="K475" s="8"/>
      <c r="L475" s="8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13"/>
      <c r="C476" s="13"/>
      <c r="D476" s="13"/>
      <c r="E476" s="9"/>
      <c r="F476" s="7"/>
      <c r="G476" s="8"/>
      <c r="H476" s="6"/>
      <c r="I476" s="6"/>
      <c r="J476" s="8"/>
      <c r="K476" s="8"/>
      <c r="L476" s="8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13"/>
      <c r="C477" s="13"/>
      <c r="D477" s="13"/>
      <c r="E477" s="9"/>
      <c r="F477" s="7"/>
      <c r="G477" s="8"/>
      <c r="H477" s="6"/>
      <c r="I477" s="6"/>
      <c r="J477" s="8"/>
      <c r="K477" s="8"/>
      <c r="L477" s="8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13"/>
      <c r="C478" s="13"/>
      <c r="D478" s="13"/>
      <c r="E478" s="9"/>
      <c r="F478" s="7"/>
      <c r="G478" s="8"/>
      <c r="H478" s="6"/>
      <c r="I478" s="6"/>
      <c r="J478" s="8"/>
      <c r="K478" s="8"/>
      <c r="L478" s="8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13"/>
      <c r="C479" s="13"/>
      <c r="D479" s="13"/>
      <c r="E479" s="9"/>
      <c r="F479" s="7"/>
      <c r="G479" s="8"/>
      <c r="H479" s="6"/>
      <c r="I479" s="6"/>
      <c r="J479" s="8"/>
      <c r="K479" s="8"/>
      <c r="L479" s="8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13"/>
      <c r="C480" s="13"/>
      <c r="D480" s="13"/>
      <c r="E480" s="9"/>
      <c r="F480" s="7"/>
      <c r="G480" s="8"/>
      <c r="H480" s="6"/>
      <c r="I480" s="6"/>
      <c r="J480" s="8"/>
      <c r="K480" s="8"/>
      <c r="L480" s="8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13"/>
      <c r="C481" s="13"/>
      <c r="D481" s="13"/>
      <c r="E481" s="9"/>
      <c r="F481" s="7"/>
      <c r="G481" s="8"/>
      <c r="H481" s="6"/>
      <c r="I481" s="6"/>
      <c r="J481" s="8"/>
      <c r="K481" s="8"/>
      <c r="L481" s="8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13"/>
      <c r="C482" s="13"/>
      <c r="D482" s="13"/>
      <c r="E482" s="9"/>
      <c r="F482" s="7"/>
      <c r="G482" s="8"/>
      <c r="H482" s="6"/>
      <c r="I482" s="6"/>
      <c r="J482" s="8"/>
      <c r="K482" s="8"/>
      <c r="L482" s="8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13"/>
      <c r="C483" s="13"/>
      <c r="D483" s="13"/>
      <c r="E483" s="9"/>
      <c r="F483" s="7"/>
      <c r="G483" s="8"/>
      <c r="H483" s="6"/>
      <c r="I483" s="6"/>
      <c r="J483" s="8"/>
      <c r="K483" s="8"/>
      <c r="L483" s="8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13"/>
      <c r="C484" s="13"/>
      <c r="D484" s="13"/>
      <c r="E484" s="9"/>
      <c r="F484" s="7"/>
      <c r="G484" s="8"/>
      <c r="H484" s="6"/>
      <c r="I484" s="6"/>
      <c r="J484" s="8"/>
      <c r="K484" s="8"/>
      <c r="L484" s="8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13"/>
      <c r="C485" s="13"/>
      <c r="D485" s="13"/>
      <c r="E485" s="9"/>
      <c r="F485" s="7"/>
      <c r="G485" s="8"/>
      <c r="H485" s="6"/>
      <c r="I485" s="6"/>
      <c r="J485" s="8"/>
      <c r="K485" s="8"/>
      <c r="L485" s="8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13"/>
      <c r="C486" s="13"/>
      <c r="D486" s="13"/>
      <c r="E486" s="9"/>
      <c r="F486" s="7"/>
      <c r="G486" s="8"/>
      <c r="H486" s="6"/>
      <c r="I486" s="6"/>
      <c r="J486" s="8"/>
      <c r="K486" s="8"/>
      <c r="L486" s="8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13"/>
      <c r="C487" s="13"/>
      <c r="D487" s="13"/>
      <c r="E487" s="9"/>
      <c r="F487" s="7"/>
      <c r="G487" s="8"/>
      <c r="H487" s="6"/>
      <c r="I487" s="6"/>
      <c r="J487" s="8"/>
      <c r="K487" s="8"/>
      <c r="L487" s="8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13"/>
      <c r="C488" s="13"/>
      <c r="D488" s="13"/>
      <c r="E488" s="9"/>
      <c r="F488" s="7"/>
      <c r="G488" s="8"/>
      <c r="H488" s="6"/>
      <c r="I488" s="6"/>
      <c r="J488" s="8"/>
      <c r="K488" s="8"/>
      <c r="L488" s="8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13"/>
      <c r="C489" s="13"/>
      <c r="D489" s="13"/>
      <c r="E489" s="9"/>
      <c r="F489" s="7"/>
      <c r="G489" s="8"/>
      <c r="H489" s="6"/>
      <c r="I489" s="6"/>
      <c r="J489" s="8"/>
      <c r="K489" s="8"/>
      <c r="L489" s="8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13"/>
      <c r="C490" s="13"/>
      <c r="D490" s="13"/>
      <c r="E490" s="9"/>
      <c r="F490" s="7"/>
      <c r="G490" s="8"/>
      <c r="H490" s="6"/>
      <c r="I490" s="6"/>
      <c r="J490" s="8"/>
      <c r="K490" s="8"/>
      <c r="L490" s="8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13"/>
      <c r="C491" s="13"/>
      <c r="D491" s="13"/>
      <c r="E491" s="9"/>
      <c r="F491" s="7"/>
      <c r="G491" s="8"/>
      <c r="H491" s="6"/>
      <c r="I491" s="6"/>
      <c r="J491" s="8"/>
      <c r="K491" s="8"/>
      <c r="L491" s="8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13"/>
      <c r="C492" s="13"/>
      <c r="D492" s="13"/>
      <c r="E492" s="9"/>
      <c r="F492" s="7"/>
      <c r="G492" s="8"/>
      <c r="H492" s="6"/>
      <c r="I492" s="6"/>
      <c r="J492" s="8"/>
      <c r="K492" s="8"/>
      <c r="L492" s="8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13"/>
      <c r="C493" s="13"/>
      <c r="D493" s="13"/>
      <c r="E493" s="9"/>
      <c r="F493" s="7"/>
      <c r="G493" s="8"/>
      <c r="H493" s="6"/>
      <c r="I493" s="6"/>
      <c r="J493" s="8"/>
      <c r="K493" s="8"/>
      <c r="L493" s="8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13"/>
      <c r="C494" s="13"/>
      <c r="D494" s="13"/>
      <c r="E494" s="9"/>
      <c r="F494" s="7"/>
      <c r="G494" s="8"/>
      <c r="H494" s="6"/>
      <c r="I494" s="6"/>
      <c r="J494" s="8"/>
      <c r="K494" s="8"/>
      <c r="L494" s="8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13"/>
      <c r="C495" s="13"/>
      <c r="D495" s="13"/>
      <c r="E495" s="9"/>
      <c r="F495" s="7"/>
      <c r="G495" s="8"/>
      <c r="H495" s="6"/>
      <c r="I495" s="6"/>
      <c r="J495" s="8"/>
      <c r="K495" s="8"/>
      <c r="L495" s="8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13"/>
      <c r="C496" s="13"/>
      <c r="D496" s="13"/>
      <c r="E496" s="9"/>
      <c r="F496" s="7"/>
      <c r="G496" s="8"/>
      <c r="H496" s="6"/>
      <c r="I496" s="6"/>
      <c r="J496" s="8"/>
      <c r="K496" s="8"/>
      <c r="L496" s="8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13"/>
      <c r="C497" s="13"/>
      <c r="D497" s="13"/>
      <c r="E497" s="9"/>
      <c r="F497" s="7"/>
      <c r="G497" s="8"/>
      <c r="H497" s="6"/>
      <c r="I497" s="6"/>
      <c r="J497" s="8"/>
      <c r="K497" s="8"/>
      <c r="L497" s="8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13"/>
      <c r="C498" s="13"/>
      <c r="D498" s="13"/>
      <c r="E498" s="9"/>
      <c r="F498" s="7"/>
      <c r="G498" s="8"/>
      <c r="H498" s="6"/>
      <c r="I498" s="6"/>
      <c r="J498" s="8"/>
      <c r="K498" s="8"/>
      <c r="L498" s="8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13"/>
      <c r="C499" s="13"/>
      <c r="D499" s="13"/>
      <c r="E499" s="9"/>
      <c r="F499" s="7"/>
      <c r="G499" s="8"/>
      <c r="H499" s="6"/>
      <c r="I499" s="6"/>
      <c r="J499" s="8"/>
      <c r="K499" s="8"/>
      <c r="L499" s="8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13"/>
      <c r="C500" s="13"/>
      <c r="D500" s="13"/>
      <c r="E500" s="9"/>
      <c r="F500" s="7"/>
      <c r="G500" s="8"/>
      <c r="H500" s="6"/>
      <c r="I500" s="6"/>
      <c r="J500" s="8"/>
      <c r="K500" s="8"/>
      <c r="L500" s="8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13"/>
      <c r="C501" s="13"/>
      <c r="D501" s="13"/>
      <c r="E501" s="9"/>
      <c r="F501" s="7"/>
      <c r="G501" s="8"/>
      <c r="H501" s="6"/>
      <c r="I501" s="6"/>
      <c r="J501" s="8"/>
      <c r="K501" s="8"/>
      <c r="L501" s="8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13"/>
      <c r="C502" s="13"/>
      <c r="D502" s="13"/>
      <c r="E502" s="9"/>
      <c r="F502" s="7"/>
      <c r="G502" s="8"/>
      <c r="H502" s="6"/>
      <c r="I502" s="6"/>
      <c r="J502" s="8"/>
      <c r="K502" s="8"/>
      <c r="L502" s="8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13"/>
      <c r="C503" s="13"/>
      <c r="D503" s="13"/>
      <c r="E503" s="9"/>
      <c r="F503" s="7"/>
      <c r="G503" s="8"/>
      <c r="H503" s="6"/>
      <c r="I503" s="6"/>
      <c r="J503" s="8"/>
      <c r="K503" s="8"/>
      <c r="L503" s="8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13"/>
      <c r="C504" s="13"/>
      <c r="D504" s="13"/>
      <c r="E504" s="9"/>
      <c r="F504" s="7"/>
      <c r="G504" s="8"/>
      <c r="H504" s="6"/>
      <c r="I504" s="6"/>
      <c r="J504" s="8"/>
      <c r="K504" s="8"/>
      <c r="L504" s="8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13"/>
      <c r="C505" s="13"/>
      <c r="D505" s="13"/>
      <c r="E505" s="9"/>
      <c r="F505" s="7"/>
      <c r="G505" s="8"/>
      <c r="H505" s="6"/>
      <c r="I505" s="6"/>
      <c r="J505" s="8"/>
      <c r="K505" s="8"/>
      <c r="L505" s="8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13"/>
      <c r="C506" s="13"/>
      <c r="D506" s="13"/>
      <c r="E506" s="9"/>
      <c r="F506" s="7"/>
      <c r="G506" s="8"/>
      <c r="H506" s="6"/>
      <c r="I506" s="6"/>
      <c r="J506" s="8"/>
      <c r="K506" s="8"/>
      <c r="L506" s="8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13"/>
      <c r="C507" s="13"/>
      <c r="D507" s="13"/>
      <c r="E507" s="9"/>
      <c r="F507" s="7"/>
      <c r="G507" s="8"/>
      <c r="H507" s="6"/>
      <c r="I507" s="6"/>
      <c r="J507" s="8"/>
      <c r="K507" s="8"/>
      <c r="L507" s="8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13"/>
      <c r="C508" s="13"/>
      <c r="D508" s="13"/>
      <c r="E508" s="9"/>
      <c r="F508" s="7"/>
      <c r="G508" s="8"/>
      <c r="H508" s="6"/>
      <c r="I508" s="6"/>
      <c r="J508" s="8"/>
      <c r="K508" s="8"/>
      <c r="L508" s="8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13"/>
      <c r="C509" s="13"/>
      <c r="D509" s="13"/>
      <c r="E509" s="9"/>
      <c r="F509" s="7"/>
      <c r="G509" s="8"/>
      <c r="H509" s="6"/>
      <c r="I509" s="6"/>
      <c r="J509" s="8"/>
      <c r="K509" s="8"/>
      <c r="L509" s="8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13"/>
      <c r="C510" s="13"/>
      <c r="D510" s="13"/>
      <c r="E510" s="9"/>
      <c r="F510" s="7"/>
      <c r="G510" s="8"/>
      <c r="H510" s="6"/>
      <c r="I510" s="6"/>
      <c r="J510" s="8"/>
      <c r="K510" s="8"/>
      <c r="L510" s="8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13"/>
      <c r="C511" s="13"/>
      <c r="D511" s="13"/>
      <c r="E511" s="9"/>
      <c r="F511" s="7"/>
      <c r="G511" s="8"/>
      <c r="H511" s="6"/>
      <c r="I511" s="6"/>
      <c r="J511" s="8"/>
      <c r="K511" s="8"/>
      <c r="L511" s="8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13"/>
      <c r="C512" s="13"/>
      <c r="D512" s="13"/>
      <c r="E512" s="9"/>
      <c r="F512" s="7"/>
      <c r="G512" s="8"/>
      <c r="H512" s="6"/>
      <c r="I512" s="6"/>
      <c r="J512" s="8"/>
      <c r="K512" s="8"/>
      <c r="L512" s="8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13"/>
      <c r="C513" s="13"/>
      <c r="D513" s="13"/>
      <c r="E513" s="9"/>
      <c r="F513" s="7"/>
      <c r="G513" s="8"/>
      <c r="H513" s="6"/>
      <c r="I513" s="6"/>
      <c r="J513" s="8"/>
      <c r="K513" s="8"/>
      <c r="L513" s="8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13"/>
      <c r="C514" s="13"/>
      <c r="D514" s="13"/>
      <c r="E514" s="9"/>
      <c r="F514" s="7"/>
      <c r="G514" s="8"/>
      <c r="H514" s="6"/>
      <c r="I514" s="6"/>
      <c r="J514" s="8"/>
      <c r="K514" s="8"/>
      <c r="L514" s="8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13"/>
      <c r="C515" s="13"/>
      <c r="D515" s="13"/>
      <c r="E515" s="9"/>
      <c r="F515" s="7"/>
      <c r="G515" s="8"/>
      <c r="H515" s="6"/>
      <c r="I515" s="6"/>
      <c r="J515" s="8"/>
      <c r="K515" s="8"/>
      <c r="L515" s="8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13"/>
      <c r="C516" s="13"/>
      <c r="D516" s="13"/>
      <c r="E516" s="9"/>
      <c r="F516" s="7"/>
      <c r="G516" s="8"/>
      <c r="H516" s="6"/>
      <c r="I516" s="6"/>
      <c r="J516" s="8"/>
      <c r="K516" s="8"/>
      <c r="L516" s="8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13"/>
      <c r="C517" s="13"/>
      <c r="D517" s="13"/>
      <c r="E517" s="9"/>
      <c r="F517" s="7"/>
      <c r="G517" s="8"/>
      <c r="H517" s="6"/>
      <c r="I517" s="6"/>
      <c r="J517" s="8"/>
      <c r="K517" s="8"/>
      <c r="L517" s="8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13"/>
      <c r="C518" s="13"/>
      <c r="D518" s="13"/>
      <c r="E518" s="9"/>
      <c r="F518" s="7"/>
      <c r="G518" s="8"/>
      <c r="H518" s="6"/>
      <c r="I518" s="6"/>
      <c r="J518" s="8"/>
      <c r="K518" s="8"/>
      <c r="L518" s="8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13"/>
      <c r="C519" s="13"/>
      <c r="D519" s="13"/>
      <c r="E519" s="9"/>
      <c r="F519" s="7"/>
      <c r="G519" s="8"/>
      <c r="H519" s="6"/>
      <c r="I519" s="6"/>
      <c r="J519" s="8"/>
      <c r="K519" s="8"/>
      <c r="L519" s="8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13"/>
      <c r="C520" s="13"/>
      <c r="D520" s="13"/>
      <c r="E520" s="9"/>
      <c r="F520" s="7"/>
      <c r="G520" s="8"/>
      <c r="H520" s="6"/>
      <c r="I520" s="6"/>
      <c r="J520" s="8"/>
      <c r="K520" s="8"/>
      <c r="L520" s="8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13"/>
      <c r="C521" s="13"/>
      <c r="D521" s="13"/>
      <c r="E521" s="9"/>
      <c r="F521" s="7"/>
      <c r="G521" s="8"/>
      <c r="H521" s="6"/>
      <c r="I521" s="6"/>
      <c r="J521" s="8"/>
      <c r="K521" s="8"/>
      <c r="L521" s="8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13"/>
      <c r="C522" s="13"/>
      <c r="D522" s="13"/>
      <c r="E522" s="9"/>
      <c r="F522" s="7"/>
      <c r="G522" s="8"/>
      <c r="H522" s="6"/>
      <c r="I522" s="6"/>
      <c r="J522" s="8"/>
      <c r="K522" s="8"/>
      <c r="L522" s="8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13"/>
      <c r="C523" s="13"/>
      <c r="D523" s="13"/>
      <c r="E523" s="9"/>
      <c r="F523" s="7"/>
      <c r="G523" s="8"/>
      <c r="H523" s="6"/>
      <c r="I523" s="6"/>
      <c r="J523" s="8"/>
      <c r="K523" s="8"/>
      <c r="L523" s="8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13"/>
      <c r="C524" s="13"/>
      <c r="D524" s="13"/>
      <c r="E524" s="9"/>
      <c r="F524" s="7"/>
      <c r="G524" s="8"/>
      <c r="H524" s="6"/>
      <c r="I524" s="6"/>
      <c r="J524" s="8"/>
      <c r="K524" s="8"/>
      <c r="L524" s="8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13"/>
      <c r="C525" s="13"/>
      <c r="D525" s="13"/>
      <c r="E525" s="9"/>
      <c r="F525" s="7"/>
      <c r="G525" s="8"/>
      <c r="H525" s="6"/>
      <c r="I525" s="6"/>
      <c r="J525" s="8"/>
      <c r="K525" s="8"/>
      <c r="L525" s="8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13"/>
      <c r="C526" s="13"/>
      <c r="D526" s="13"/>
      <c r="E526" s="9"/>
      <c r="F526" s="7"/>
      <c r="G526" s="8"/>
      <c r="H526" s="6"/>
      <c r="I526" s="6"/>
      <c r="J526" s="8"/>
      <c r="K526" s="8"/>
      <c r="L526" s="8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13"/>
      <c r="C527" s="13"/>
      <c r="D527" s="13"/>
      <c r="E527" s="9"/>
      <c r="F527" s="7"/>
      <c r="G527" s="8"/>
      <c r="H527" s="6"/>
      <c r="I527" s="6"/>
      <c r="J527" s="8"/>
      <c r="K527" s="8"/>
      <c r="L527" s="8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13"/>
      <c r="C528" s="13"/>
      <c r="D528" s="13"/>
      <c r="E528" s="9"/>
      <c r="F528" s="7"/>
      <c r="G528" s="8"/>
      <c r="H528" s="6"/>
      <c r="I528" s="6"/>
      <c r="J528" s="8"/>
      <c r="K528" s="8"/>
      <c r="L528" s="8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13"/>
      <c r="C529" s="13"/>
      <c r="D529" s="13"/>
      <c r="E529" s="9"/>
      <c r="F529" s="7"/>
      <c r="G529" s="8"/>
      <c r="H529" s="6"/>
      <c r="I529" s="6"/>
      <c r="J529" s="8"/>
      <c r="K529" s="8"/>
      <c r="L529" s="8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13"/>
      <c r="C530" s="13"/>
      <c r="D530" s="13"/>
      <c r="E530" s="9"/>
      <c r="F530" s="7"/>
      <c r="G530" s="8"/>
      <c r="H530" s="6"/>
      <c r="I530" s="6"/>
      <c r="J530" s="8"/>
      <c r="K530" s="8"/>
      <c r="L530" s="8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13"/>
      <c r="C531" s="13"/>
      <c r="D531" s="13"/>
      <c r="E531" s="9"/>
      <c r="F531" s="7"/>
      <c r="G531" s="8"/>
      <c r="H531" s="6"/>
      <c r="I531" s="6"/>
      <c r="J531" s="8"/>
      <c r="K531" s="8"/>
      <c r="L531" s="8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13"/>
      <c r="C532" s="13"/>
      <c r="D532" s="13"/>
      <c r="E532" s="9"/>
      <c r="F532" s="7"/>
      <c r="G532" s="8"/>
      <c r="H532" s="6"/>
      <c r="I532" s="6"/>
      <c r="J532" s="8"/>
      <c r="K532" s="8"/>
      <c r="L532" s="8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13"/>
      <c r="C533" s="13"/>
      <c r="D533" s="13"/>
      <c r="E533" s="9"/>
      <c r="F533" s="7"/>
      <c r="G533" s="8"/>
      <c r="H533" s="6"/>
      <c r="I533" s="6"/>
      <c r="J533" s="8"/>
      <c r="K533" s="8"/>
      <c r="L533" s="8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13"/>
      <c r="C534" s="13"/>
      <c r="D534" s="13"/>
      <c r="E534" s="9"/>
      <c r="F534" s="7"/>
      <c r="G534" s="8"/>
      <c r="H534" s="6"/>
      <c r="I534" s="6"/>
      <c r="J534" s="8"/>
      <c r="K534" s="8"/>
      <c r="L534" s="8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13"/>
      <c r="C535" s="13"/>
      <c r="D535" s="13"/>
      <c r="E535" s="9"/>
      <c r="F535" s="7"/>
      <c r="G535" s="8"/>
      <c r="H535" s="6"/>
      <c r="I535" s="6"/>
      <c r="J535" s="8"/>
      <c r="K535" s="8"/>
      <c r="L535" s="8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13"/>
      <c r="C536" s="13"/>
      <c r="D536" s="13"/>
      <c r="E536" s="9"/>
      <c r="F536" s="7"/>
      <c r="G536" s="8"/>
      <c r="H536" s="6"/>
      <c r="I536" s="6"/>
      <c r="J536" s="8"/>
      <c r="K536" s="8"/>
      <c r="L536" s="8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13"/>
      <c r="C537" s="13"/>
      <c r="D537" s="13"/>
      <c r="E537" s="9"/>
      <c r="F537" s="7"/>
      <c r="G537" s="8"/>
      <c r="H537" s="6"/>
      <c r="I537" s="6"/>
      <c r="J537" s="8"/>
      <c r="K537" s="8"/>
      <c r="L537" s="8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13"/>
      <c r="C538" s="13"/>
      <c r="D538" s="13"/>
      <c r="E538" s="9"/>
      <c r="F538" s="7"/>
      <c r="G538" s="8"/>
      <c r="H538" s="6"/>
      <c r="I538" s="6"/>
      <c r="J538" s="8"/>
      <c r="K538" s="8"/>
      <c r="L538" s="8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13"/>
      <c r="C539" s="13"/>
      <c r="D539" s="13"/>
      <c r="E539" s="9"/>
      <c r="F539" s="7"/>
      <c r="G539" s="8"/>
      <c r="H539" s="6"/>
      <c r="I539" s="6"/>
      <c r="J539" s="8"/>
      <c r="K539" s="8"/>
      <c r="L539" s="8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13"/>
      <c r="C540" s="13"/>
      <c r="D540" s="13"/>
      <c r="E540" s="9"/>
      <c r="F540" s="7"/>
      <c r="G540" s="8"/>
      <c r="H540" s="6"/>
      <c r="I540" s="6"/>
      <c r="J540" s="8"/>
      <c r="K540" s="8"/>
      <c r="L540" s="8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13"/>
      <c r="C541" s="13"/>
      <c r="D541" s="13"/>
      <c r="E541" s="9"/>
      <c r="F541" s="7"/>
      <c r="G541" s="8"/>
      <c r="H541" s="6"/>
      <c r="I541" s="6"/>
      <c r="J541" s="8"/>
      <c r="K541" s="8"/>
      <c r="L541" s="8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13"/>
      <c r="C542" s="13"/>
      <c r="D542" s="13"/>
      <c r="E542" s="9"/>
      <c r="F542" s="7"/>
      <c r="G542" s="8"/>
      <c r="H542" s="6"/>
      <c r="I542" s="6"/>
      <c r="J542" s="8"/>
      <c r="K542" s="8"/>
      <c r="L542" s="8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13"/>
      <c r="C543" s="13"/>
      <c r="D543" s="13"/>
      <c r="E543" s="9"/>
      <c r="F543" s="7"/>
      <c r="G543" s="8"/>
      <c r="H543" s="6"/>
      <c r="I543" s="6"/>
      <c r="J543" s="8"/>
      <c r="K543" s="8"/>
      <c r="L543" s="8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13"/>
      <c r="C544" s="13"/>
      <c r="D544" s="13"/>
      <c r="E544" s="9"/>
      <c r="F544" s="7"/>
      <c r="G544" s="8"/>
      <c r="H544" s="6"/>
      <c r="I544" s="6"/>
      <c r="J544" s="8"/>
      <c r="K544" s="8"/>
      <c r="L544" s="8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13"/>
      <c r="C545" s="13"/>
      <c r="D545" s="13"/>
      <c r="E545" s="9"/>
      <c r="F545" s="7"/>
      <c r="G545" s="8"/>
      <c r="H545" s="6"/>
      <c r="I545" s="6"/>
      <c r="J545" s="8"/>
      <c r="K545" s="8"/>
      <c r="L545" s="8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13"/>
      <c r="C546" s="13"/>
      <c r="D546" s="13"/>
      <c r="E546" s="9"/>
      <c r="F546" s="7"/>
      <c r="G546" s="8"/>
      <c r="H546" s="6"/>
      <c r="I546" s="6"/>
      <c r="J546" s="8"/>
      <c r="K546" s="8"/>
      <c r="L546" s="8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13"/>
      <c r="C547" s="13"/>
      <c r="D547" s="13"/>
      <c r="E547" s="9"/>
      <c r="F547" s="7"/>
      <c r="G547" s="8"/>
      <c r="H547" s="6"/>
      <c r="I547" s="6"/>
      <c r="J547" s="8"/>
      <c r="K547" s="8"/>
      <c r="L547" s="8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13"/>
      <c r="C548" s="13"/>
      <c r="D548" s="13"/>
      <c r="E548" s="9"/>
      <c r="F548" s="7"/>
      <c r="G548" s="8"/>
      <c r="H548" s="6"/>
      <c r="I548" s="6"/>
      <c r="J548" s="8"/>
      <c r="K548" s="8"/>
      <c r="L548" s="8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13"/>
      <c r="C549" s="13"/>
      <c r="D549" s="13"/>
      <c r="E549" s="9"/>
      <c r="F549" s="7"/>
      <c r="G549" s="8"/>
      <c r="H549" s="6"/>
      <c r="I549" s="6"/>
      <c r="J549" s="8"/>
      <c r="K549" s="8"/>
      <c r="L549" s="8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13"/>
      <c r="C550" s="13"/>
      <c r="D550" s="13"/>
      <c r="E550" s="9"/>
      <c r="F550" s="7"/>
      <c r="G550" s="8"/>
      <c r="H550" s="6"/>
      <c r="I550" s="6"/>
      <c r="J550" s="8"/>
      <c r="K550" s="8"/>
      <c r="L550" s="8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13"/>
      <c r="C551" s="13"/>
      <c r="D551" s="13"/>
      <c r="E551" s="9"/>
      <c r="F551" s="7"/>
      <c r="G551" s="8"/>
      <c r="H551" s="6"/>
      <c r="I551" s="6"/>
      <c r="J551" s="8"/>
      <c r="K551" s="8"/>
      <c r="L551" s="8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13"/>
      <c r="C552" s="13"/>
      <c r="D552" s="13"/>
      <c r="E552" s="9"/>
      <c r="F552" s="7"/>
      <c r="G552" s="8"/>
      <c r="H552" s="6"/>
      <c r="I552" s="6"/>
      <c r="J552" s="8"/>
      <c r="K552" s="8"/>
      <c r="L552" s="8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13"/>
      <c r="C553" s="13"/>
      <c r="D553" s="13"/>
      <c r="E553" s="9"/>
      <c r="F553" s="7"/>
      <c r="G553" s="8"/>
      <c r="H553" s="6"/>
      <c r="I553" s="6"/>
      <c r="J553" s="8"/>
      <c r="K553" s="8"/>
      <c r="L553" s="8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13"/>
      <c r="C554" s="13"/>
      <c r="D554" s="13"/>
      <c r="E554" s="9"/>
      <c r="F554" s="7"/>
      <c r="G554" s="8"/>
      <c r="H554" s="6"/>
      <c r="I554" s="6"/>
      <c r="J554" s="8"/>
      <c r="K554" s="8"/>
      <c r="L554" s="8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13"/>
      <c r="C555" s="13"/>
      <c r="D555" s="13"/>
      <c r="E555" s="9"/>
      <c r="F555" s="7"/>
      <c r="G555" s="8"/>
      <c r="H555" s="6"/>
      <c r="I555" s="6"/>
      <c r="J555" s="8"/>
      <c r="K555" s="8"/>
      <c r="L555" s="8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13"/>
      <c r="C556" s="13"/>
      <c r="D556" s="13"/>
      <c r="E556" s="9"/>
      <c r="F556" s="7"/>
      <c r="G556" s="8"/>
      <c r="H556" s="6"/>
      <c r="I556" s="6"/>
      <c r="J556" s="8"/>
      <c r="K556" s="8"/>
      <c r="L556" s="8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13"/>
      <c r="C557" s="13"/>
      <c r="D557" s="13"/>
      <c r="E557" s="9"/>
      <c r="F557" s="7"/>
      <c r="G557" s="8"/>
      <c r="H557" s="6"/>
      <c r="I557" s="6"/>
      <c r="J557" s="8"/>
      <c r="K557" s="8"/>
      <c r="L557" s="8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13"/>
      <c r="C558" s="13"/>
      <c r="D558" s="13"/>
      <c r="E558" s="9"/>
      <c r="F558" s="7"/>
      <c r="G558" s="8"/>
      <c r="H558" s="6"/>
      <c r="I558" s="6"/>
      <c r="J558" s="8"/>
      <c r="K558" s="8"/>
      <c r="L558" s="8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13"/>
      <c r="C559" s="13"/>
      <c r="D559" s="13"/>
      <c r="E559" s="9"/>
      <c r="F559" s="7"/>
      <c r="G559" s="8"/>
      <c r="H559" s="6"/>
      <c r="I559" s="6"/>
      <c r="J559" s="8"/>
      <c r="K559" s="8"/>
      <c r="L559" s="8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13"/>
      <c r="C560" s="13"/>
      <c r="D560" s="13"/>
      <c r="E560" s="9"/>
      <c r="F560" s="7"/>
      <c r="G560" s="8"/>
      <c r="H560" s="6"/>
      <c r="I560" s="6"/>
      <c r="J560" s="8"/>
      <c r="K560" s="8"/>
      <c r="L560" s="8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13"/>
      <c r="C561" s="13"/>
      <c r="D561" s="13"/>
      <c r="E561" s="9"/>
      <c r="F561" s="7"/>
      <c r="G561" s="8"/>
      <c r="H561" s="6"/>
      <c r="I561" s="6"/>
      <c r="J561" s="8"/>
      <c r="K561" s="8"/>
      <c r="L561" s="8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13"/>
      <c r="C562" s="13"/>
      <c r="D562" s="13"/>
      <c r="E562" s="9"/>
      <c r="F562" s="7"/>
      <c r="G562" s="8"/>
      <c r="H562" s="6"/>
      <c r="I562" s="6"/>
      <c r="J562" s="8"/>
      <c r="K562" s="8"/>
      <c r="L562" s="8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13"/>
      <c r="C563" s="13"/>
      <c r="D563" s="13"/>
      <c r="E563" s="9"/>
      <c r="F563" s="7"/>
      <c r="G563" s="8"/>
      <c r="H563" s="6"/>
      <c r="I563" s="6"/>
      <c r="J563" s="8"/>
      <c r="K563" s="8"/>
      <c r="L563" s="8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13"/>
      <c r="C564" s="13"/>
      <c r="D564" s="13"/>
      <c r="E564" s="9"/>
      <c r="F564" s="7"/>
      <c r="G564" s="8"/>
      <c r="H564" s="6"/>
      <c r="I564" s="6"/>
      <c r="J564" s="8"/>
      <c r="K564" s="8"/>
      <c r="L564" s="8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13"/>
      <c r="C565" s="13"/>
      <c r="D565" s="13"/>
      <c r="E565" s="9"/>
      <c r="F565" s="7"/>
      <c r="G565" s="8"/>
      <c r="H565" s="6"/>
      <c r="I565" s="6"/>
      <c r="J565" s="8"/>
      <c r="K565" s="8"/>
      <c r="L565" s="8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13"/>
      <c r="C566" s="13"/>
      <c r="D566" s="13"/>
      <c r="E566" s="9"/>
      <c r="F566" s="7"/>
      <c r="G566" s="8"/>
      <c r="H566" s="6"/>
      <c r="I566" s="6"/>
      <c r="J566" s="8"/>
      <c r="K566" s="8"/>
      <c r="L566" s="8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13"/>
      <c r="C567" s="13"/>
      <c r="D567" s="13"/>
      <c r="E567" s="9"/>
      <c r="F567" s="7"/>
      <c r="G567" s="8"/>
      <c r="H567" s="6"/>
      <c r="I567" s="6"/>
      <c r="J567" s="8"/>
      <c r="K567" s="8"/>
      <c r="L567" s="8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13"/>
      <c r="C568" s="13"/>
      <c r="D568" s="13"/>
      <c r="E568" s="9"/>
      <c r="F568" s="7"/>
      <c r="G568" s="8"/>
      <c r="H568" s="6"/>
      <c r="I568" s="6"/>
      <c r="J568" s="8"/>
      <c r="K568" s="8"/>
      <c r="L568" s="8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13"/>
      <c r="C569" s="13"/>
      <c r="D569" s="13"/>
      <c r="E569" s="9"/>
      <c r="F569" s="7"/>
      <c r="G569" s="8"/>
      <c r="H569" s="6"/>
      <c r="I569" s="6"/>
      <c r="J569" s="8"/>
      <c r="K569" s="8"/>
      <c r="L569" s="8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13"/>
      <c r="C570" s="13"/>
      <c r="D570" s="13"/>
      <c r="E570" s="9"/>
      <c r="F570" s="7"/>
      <c r="G570" s="8"/>
      <c r="H570" s="6"/>
      <c r="I570" s="6"/>
      <c r="J570" s="8"/>
      <c r="K570" s="8"/>
      <c r="L570" s="8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13"/>
      <c r="C571" s="13"/>
      <c r="D571" s="13"/>
      <c r="E571" s="9"/>
      <c r="F571" s="7"/>
      <c r="G571" s="8"/>
      <c r="H571" s="6"/>
      <c r="I571" s="6"/>
      <c r="J571" s="8"/>
      <c r="K571" s="8"/>
      <c r="L571" s="8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13"/>
      <c r="C572" s="13"/>
      <c r="D572" s="13"/>
      <c r="E572" s="9"/>
      <c r="F572" s="7"/>
      <c r="G572" s="8"/>
      <c r="H572" s="6"/>
      <c r="I572" s="6"/>
      <c r="J572" s="8"/>
      <c r="K572" s="8"/>
      <c r="L572" s="8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13"/>
      <c r="C573" s="13"/>
      <c r="D573" s="13"/>
      <c r="E573" s="9"/>
      <c r="F573" s="7"/>
      <c r="G573" s="8"/>
      <c r="H573" s="6"/>
      <c r="I573" s="6"/>
      <c r="J573" s="8"/>
      <c r="K573" s="8"/>
      <c r="L573" s="8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13"/>
      <c r="C574" s="13"/>
      <c r="D574" s="13"/>
      <c r="E574" s="9"/>
      <c r="F574" s="7"/>
      <c r="G574" s="8"/>
      <c r="H574" s="6"/>
      <c r="I574" s="6"/>
      <c r="J574" s="8"/>
      <c r="K574" s="8"/>
      <c r="L574" s="8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13"/>
      <c r="C575" s="13"/>
      <c r="D575" s="13"/>
      <c r="E575" s="9"/>
      <c r="F575" s="7"/>
      <c r="G575" s="8"/>
      <c r="H575" s="6"/>
      <c r="I575" s="6"/>
      <c r="J575" s="8"/>
      <c r="K575" s="8"/>
      <c r="L575" s="8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13"/>
      <c r="C576" s="13"/>
      <c r="D576" s="13"/>
      <c r="E576" s="9"/>
      <c r="F576" s="7"/>
      <c r="G576" s="8"/>
      <c r="H576" s="6"/>
      <c r="I576" s="6"/>
      <c r="J576" s="8"/>
      <c r="K576" s="8"/>
      <c r="L576" s="8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13"/>
      <c r="C577" s="13"/>
      <c r="D577" s="13"/>
      <c r="E577" s="9"/>
      <c r="F577" s="7"/>
      <c r="G577" s="8"/>
      <c r="H577" s="6"/>
      <c r="I577" s="6"/>
      <c r="J577" s="8"/>
      <c r="K577" s="8"/>
      <c r="L577" s="8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13"/>
      <c r="C578" s="13"/>
      <c r="D578" s="13"/>
      <c r="E578" s="9"/>
      <c r="F578" s="7"/>
      <c r="G578" s="8"/>
      <c r="H578" s="6"/>
      <c r="I578" s="6"/>
      <c r="J578" s="8"/>
      <c r="K578" s="8"/>
      <c r="L578" s="8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13"/>
      <c r="C579" s="13"/>
      <c r="D579" s="13"/>
      <c r="E579" s="9"/>
      <c r="F579" s="7"/>
      <c r="G579" s="8"/>
      <c r="H579" s="6"/>
      <c r="I579" s="6"/>
      <c r="J579" s="8"/>
      <c r="K579" s="8"/>
      <c r="L579" s="8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13"/>
      <c r="C580" s="13"/>
      <c r="D580" s="13"/>
      <c r="E580" s="9"/>
      <c r="F580" s="7"/>
      <c r="G580" s="8"/>
      <c r="H580" s="6"/>
      <c r="I580" s="6"/>
      <c r="J580" s="8"/>
      <c r="K580" s="8"/>
      <c r="L580" s="8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13"/>
      <c r="C581" s="13"/>
      <c r="D581" s="13"/>
      <c r="E581" s="9"/>
      <c r="F581" s="7"/>
      <c r="G581" s="8"/>
      <c r="H581" s="6"/>
      <c r="I581" s="6"/>
      <c r="J581" s="8"/>
      <c r="K581" s="8"/>
      <c r="L581" s="8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13"/>
      <c r="C582" s="13"/>
      <c r="D582" s="13"/>
      <c r="E582" s="9"/>
      <c r="F582" s="7"/>
      <c r="G582" s="8"/>
      <c r="H582" s="6"/>
      <c r="I582" s="6"/>
      <c r="J582" s="8"/>
      <c r="K582" s="8"/>
      <c r="L582" s="8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13"/>
      <c r="C583" s="13"/>
      <c r="D583" s="13"/>
      <c r="E583" s="9"/>
      <c r="F583" s="7"/>
      <c r="G583" s="8"/>
      <c r="H583" s="6"/>
      <c r="I583" s="6"/>
      <c r="J583" s="8"/>
      <c r="K583" s="8"/>
      <c r="L583" s="8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13"/>
      <c r="C584" s="13"/>
      <c r="D584" s="13"/>
      <c r="E584" s="9"/>
      <c r="F584" s="7"/>
      <c r="G584" s="8"/>
      <c r="H584" s="6"/>
      <c r="I584" s="6"/>
      <c r="J584" s="8"/>
      <c r="K584" s="8"/>
      <c r="L584" s="8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13"/>
      <c r="C585" s="13"/>
      <c r="D585" s="13"/>
      <c r="E585" s="9"/>
      <c r="F585" s="7"/>
      <c r="G585" s="8"/>
      <c r="H585" s="6"/>
      <c r="I585" s="6"/>
      <c r="J585" s="8"/>
      <c r="K585" s="8"/>
      <c r="L585" s="8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13"/>
      <c r="C586" s="13"/>
      <c r="D586" s="13"/>
      <c r="E586" s="9"/>
      <c r="F586" s="7"/>
      <c r="G586" s="8"/>
      <c r="H586" s="6"/>
      <c r="I586" s="6"/>
      <c r="J586" s="8"/>
      <c r="K586" s="8"/>
      <c r="L586" s="8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13"/>
      <c r="C587" s="13"/>
      <c r="D587" s="13"/>
      <c r="E587" s="9"/>
      <c r="F587" s="7"/>
      <c r="G587" s="8"/>
      <c r="H587" s="6"/>
      <c r="I587" s="6"/>
      <c r="J587" s="8"/>
      <c r="K587" s="8"/>
      <c r="L587" s="8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13"/>
      <c r="C588" s="13"/>
      <c r="D588" s="13"/>
      <c r="E588" s="9"/>
      <c r="F588" s="7"/>
      <c r="G588" s="8"/>
      <c r="H588" s="6"/>
      <c r="I588" s="6"/>
      <c r="J588" s="8"/>
      <c r="K588" s="8"/>
      <c r="L588" s="8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13"/>
      <c r="C589" s="13"/>
      <c r="D589" s="13"/>
      <c r="E589" s="9"/>
      <c r="F589" s="7"/>
      <c r="G589" s="8"/>
      <c r="H589" s="6"/>
      <c r="I589" s="6"/>
      <c r="J589" s="8"/>
      <c r="K589" s="8"/>
      <c r="L589" s="8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13"/>
      <c r="C590" s="13"/>
      <c r="D590" s="13"/>
      <c r="E590" s="9"/>
      <c r="F590" s="7"/>
      <c r="G590" s="8"/>
      <c r="H590" s="6"/>
      <c r="I590" s="6"/>
      <c r="J590" s="8"/>
      <c r="K590" s="8"/>
      <c r="L590" s="8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13"/>
      <c r="C591" s="13"/>
      <c r="D591" s="13"/>
      <c r="E591" s="9"/>
      <c r="F591" s="7"/>
      <c r="G591" s="8"/>
      <c r="H591" s="6"/>
      <c r="I591" s="6"/>
      <c r="J591" s="8"/>
      <c r="K591" s="8"/>
      <c r="L591" s="8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13"/>
      <c r="C592" s="13"/>
      <c r="D592" s="13"/>
      <c r="E592" s="9"/>
      <c r="F592" s="7"/>
      <c r="G592" s="8"/>
      <c r="H592" s="6"/>
      <c r="I592" s="6"/>
      <c r="J592" s="8"/>
      <c r="K592" s="8"/>
      <c r="L592" s="8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13"/>
      <c r="C593" s="13"/>
      <c r="D593" s="13"/>
      <c r="E593" s="9"/>
      <c r="F593" s="7"/>
      <c r="G593" s="8"/>
      <c r="H593" s="6"/>
      <c r="I593" s="6"/>
      <c r="J593" s="8"/>
      <c r="K593" s="8"/>
      <c r="L593" s="8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13"/>
      <c r="C594" s="13"/>
      <c r="D594" s="13"/>
      <c r="E594" s="9"/>
      <c r="F594" s="7"/>
      <c r="G594" s="8"/>
      <c r="H594" s="6"/>
      <c r="I594" s="6"/>
      <c r="J594" s="8"/>
      <c r="K594" s="8"/>
      <c r="L594" s="8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13"/>
      <c r="C595" s="13"/>
      <c r="D595" s="13"/>
      <c r="E595" s="9"/>
      <c r="F595" s="7"/>
      <c r="G595" s="8"/>
      <c r="H595" s="6"/>
      <c r="I595" s="6"/>
      <c r="J595" s="8"/>
      <c r="K595" s="8"/>
      <c r="L595" s="8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13"/>
      <c r="C596" s="13"/>
      <c r="D596" s="13"/>
      <c r="E596" s="9"/>
      <c r="F596" s="7"/>
      <c r="G596" s="8"/>
      <c r="H596" s="6"/>
      <c r="I596" s="6"/>
      <c r="J596" s="8"/>
      <c r="K596" s="8"/>
      <c r="L596" s="8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13"/>
      <c r="C597" s="13"/>
      <c r="D597" s="13"/>
      <c r="E597" s="9"/>
      <c r="F597" s="7"/>
      <c r="G597" s="8"/>
      <c r="H597" s="6"/>
      <c r="I597" s="6"/>
      <c r="J597" s="8"/>
      <c r="K597" s="8"/>
      <c r="L597" s="8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13"/>
      <c r="C598" s="13"/>
      <c r="D598" s="13"/>
      <c r="E598" s="9"/>
      <c r="F598" s="7"/>
      <c r="G598" s="8"/>
      <c r="H598" s="6"/>
      <c r="I598" s="6"/>
      <c r="J598" s="8"/>
      <c r="K598" s="8"/>
      <c r="L598" s="8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13"/>
      <c r="C599" s="13"/>
      <c r="D599" s="13"/>
      <c r="E599" s="9"/>
      <c r="F599" s="7"/>
      <c r="G599" s="8"/>
      <c r="H599" s="6"/>
      <c r="I599" s="6"/>
      <c r="J599" s="8"/>
      <c r="K599" s="8"/>
      <c r="L599" s="8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13"/>
      <c r="C600" s="13"/>
      <c r="D600" s="13"/>
      <c r="E600" s="9"/>
      <c r="F600" s="7"/>
      <c r="G600" s="8"/>
      <c r="H600" s="6"/>
      <c r="I600" s="6"/>
      <c r="J600" s="8"/>
      <c r="K600" s="8"/>
      <c r="L600" s="8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13"/>
      <c r="C601" s="13"/>
      <c r="D601" s="13"/>
      <c r="E601" s="9"/>
      <c r="F601" s="7"/>
      <c r="G601" s="8"/>
      <c r="H601" s="6"/>
      <c r="I601" s="6"/>
      <c r="J601" s="8"/>
      <c r="K601" s="8"/>
      <c r="L601" s="8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13"/>
      <c r="C602" s="13"/>
      <c r="D602" s="13"/>
      <c r="E602" s="9"/>
      <c r="F602" s="7"/>
      <c r="G602" s="8"/>
      <c r="H602" s="6"/>
      <c r="I602" s="6"/>
      <c r="J602" s="8"/>
      <c r="K602" s="8"/>
      <c r="L602" s="8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13"/>
      <c r="C603" s="13"/>
      <c r="D603" s="13"/>
      <c r="E603" s="9"/>
      <c r="F603" s="7"/>
      <c r="G603" s="8"/>
      <c r="H603" s="6"/>
      <c r="I603" s="6"/>
      <c r="J603" s="8"/>
      <c r="K603" s="8"/>
      <c r="L603" s="8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13"/>
      <c r="C604" s="13"/>
      <c r="D604" s="13"/>
      <c r="E604" s="9"/>
      <c r="F604" s="7"/>
      <c r="G604" s="8"/>
      <c r="H604" s="6"/>
      <c r="I604" s="6"/>
      <c r="J604" s="8"/>
      <c r="K604" s="8"/>
      <c r="L604" s="8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13"/>
      <c r="C605" s="13"/>
      <c r="D605" s="13"/>
      <c r="E605" s="9"/>
      <c r="F605" s="7"/>
      <c r="G605" s="8"/>
      <c r="H605" s="6"/>
      <c r="I605" s="6"/>
      <c r="J605" s="8"/>
      <c r="K605" s="8"/>
      <c r="L605" s="8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13"/>
      <c r="C606" s="13"/>
      <c r="D606" s="13"/>
      <c r="E606" s="9"/>
      <c r="F606" s="7"/>
      <c r="G606" s="8"/>
      <c r="H606" s="6"/>
      <c r="I606" s="6"/>
      <c r="J606" s="8"/>
      <c r="K606" s="8"/>
      <c r="L606" s="8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13"/>
      <c r="C607" s="13"/>
      <c r="D607" s="13"/>
      <c r="E607" s="9"/>
      <c r="F607" s="7"/>
      <c r="G607" s="8"/>
      <c r="H607" s="6"/>
      <c r="I607" s="6"/>
      <c r="J607" s="8"/>
      <c r="K607" s="8"/>
      <c r="L607" s="8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13"/>
      <c r="C608" s="13"/>
      <c r="D608" s="13"/>
      <c r="E608" s="9"/>
      <c r="F608" s="7"/>
      <c r="G608" s="8"/>
      <c r="H608" s="6"/>
      <c r="I608" s="6"/>
      <c r="J608" s="8"/>
      <c r="K608" s="8"/>
      <c r="L608" s="8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13"/>
      <c r="C609" s="13"/>
      <c r="D609" s="13"/>
      <c r="E609" s="9"/>
      <c r="F609" s="7"/>
      <c r="G609" s="8"/>
      <c r="H609" s="6"/>
      <c r="I609" s="6"/>
      <c r="J609" s="8"/>
      <c r="K609" s="8"/>
      <c r="L609" s="8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13"/>
      <c r="C610" s="13"/>
      <c r="D610" s="13"/>
      <c r="E610" s="9"/>
      <c r="F610" s="7"/>
      <c r="G610" s="8"/>
      <c r="H610" s="6"/>
      <c r="I610" s="6"/>
      <c r="J610" s="8"/>
      <c r="K610" s="8"/>
      <c r="L610" s="8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13"/>
      <c r="C611" s="13"/>
      <c r="D611" s="13"/>
      <c r="E611" s="9"/>
      <c r="F611" s="7"/>
      <c r="G611" s="8"/>
      <c r="H611" s="6"/>
      <c r="I611" s="6"/>
      <c r="J611" s="8"/>
      <c r="K611" s="8"/>
      <c r="L611" s="8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13"/>
      <c r="C612" s="13"/>
      <c r="D612" s="13"/>
      <c r="E612" s="9"/>
      <c r="F612" s="7"/>
      <c r="G612" s="8"/>
      <c r="H612" s="6"/>
      <c r="I612" s="6"/>
      <c r="J612" s="8"/>
      <c r="K612" s="8"/>
      <c r="L612" s="8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13"/>
      <c r="C613" s="13"/>
      <c r="D613" s="13"/>
      <c r="E613" s="9"/>
      <c r="F613" s="7"/>
      <c r="G613" s="8"/>
      <c r="H613" s="6"/>
      <c r="I613" s="6"/>
      <c r="J613" s="8"/>
      <c r="K613" s="8"/>
      <c r="L613" s="8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13"/>
      <c r="C614" s="13"/>
      <c r="D614" s="13"/>
      <c r="E614" s="9"/>
      <c r="F614" s="7"/>
      <c r="G614" s="8"/>
      <c r="H614" s="6"/>
      <c r="I614" s="6"/>
      <c r="J614" s="8"/>
      <c r="K614" s="8"/>
      <c r="L614" s="8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13"/>
      <c r="C615" s="13"/>
      <c r="D615" s="13"/>
      <c r="E615" s="9"/>
      <c r="F615" s="7"/>
      <c r="G615" s="8"/>
      <c r="H615" s="6"/>
      <c r="I615" s="6"/>
      <c r="J615" s="8"/>
      <c r="K615" s="8"/>
      <c r="L615" s="8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13"/>
      <c r="C616" s="13"/>
      <c r="D616" s="13"/>
      <c r="E616" s="9"/>
      <c r="F616" s="7"/>
      <c r="G616" s="8"/>
      <c r="H616" s="6"/>
      <c r="I616" s="6"/>
      <c r="J616" s="8"/>
      <c r="K616" s="8"/>
      <c r="L616" s="8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13"/>
      <c r="C617" s="13"/>
      <c r="D617" s="13"/>
      <c r="E617" s="9"/>
      <c r="F617" s="7"/>
      <c r="G617" s="8"/>
      <c r="H617" s="6"/>
      <c r="I617" s="6"/>
      <c r="J617" s="8"/>
      <c r="K617" s="8"/>
      <c r="L617" s="8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13"/>
      <c r="C618" s="13"/>
      <c r="D618" s="13"/>
      <c r="E618" s="9"/>
      <c r="F618" s="7"/>
      <c r="G618" s="8"/>
      <c r="H618" s="6"/>
      <c r="I618" s="6"/>
      <c r="J618" s="8"/>
      <c r="K618" s="8"/>
      <c r="L618" s="8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13"/>
      <c r="C619" s="13"/>
      <c r="D619" s="13"/>
      <c r="E619" s="9"/>
      <c r="F619" s="7"/>
      <c r="G619" s="8"/>
      <c r="H619" s="6"/>
      <c r="I619" s="6"/>
      <c r="J619" s="8"/>
      <c r="K619" s="8"/>
      <c r="L619" s="8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13"/>
      <c r="C620" s="13"/>
      <c r="D620" s="13"/>
      <c r="E620" s="9"/>
      <c r="F620" s="7"/>
      <c r="G620" s="8"/>
      <c r="H620" s="6"/>
      <c r="I620" s="6"/>
      <c r="J620" s="8"/>
      <c r="K620" s="8"/>
      <c r="L620" s="8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13"/>
      <c r="C621" s="13"/>
      <c r="D621" s="13"/>
      <c r="E621" s="9"/>
      <c r="F621" s="7"/>
      <c r="G621" s="8"/>
      <c r="H621" s="6"/>
      <c r="I621" s="6"/>
      <c r="J621" s="8"/>
      <c r="K621" s="8"/>
      <c r="L621" s="8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13"/>
      <c r="C622" s="13"/>
      <c r="D622" s="13"/>
      <c r="E622" s="9"/>
      <c r="F622" s="7"/>
      <c r="G622" s="8"/>
      <c r="H622" s="6"/>
      <c r="I622" s="6"/>
      <c r="J622" s="8"/>
      <c r="K622" s="8"/>
      <c r="L622" s="8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13"/>
      <c r="C623" s="13"/>
      <c r="D623" s="13"/>
      <c r="E623" s="9"/>
      <c r="F623" s="7"/>
      <c r="G623" s="8"/>
      <c r="H623" s="6"/>
      <c r="I623" s="6"/>
      <c r="J623" s="8"/>
      <c r="K623" s="8"/>
      <c r="L623" s="8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13"/>
      <c r="C624" s="13"/>
      <c r="D624" s="13"/>
      <c r="E624" s="9"/>
      <c r="F624" s="7"/>
      <c r="G624" s="8"/>
      <c r="H624" s="6"/>
      <c r="I624" s="6"/>
      <c r="J624" s="8"/>
      <c r="K624" s="8"/>
      <c r="L624" s="8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13"/>
      <c r="C625" s="13"/>
      <c r="D625" s="13"/>
      <c r="E625" s="9"/>
      <c r="F625" s="7"/>
      <c r="G625" s="8"/>
      <c r="H625" s="6"/>
      <c r="I625" s="6"/>
      <c r="J625" s="8"/>
      <c r="K625" s="8"/>
      <c r="L625" s="8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13"/>
      <c r="C626" s="13"/>
      <c r="D626" s="13"/>
      <c r="E626" s="9"/>
      <c r="F626" s="7"/>
      <c r="G626" s="8"/>
      <c r="H626" s="6"/>
      <c r="I626" s="6"/>
      <c r="J626" s="8"/>
      <c r="K626" s="8"/>
      <c r="L626" s="8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13"/>
      <c r="C627" s="13"/>
      <c r="D627" s="13"/>
      <c r="E627" s="9"/>
      <c r="F627" s="7"/>
      <c r="G627" s="8"/>
      <c r="H627" s="6"/>
      <c r="I627" s="6"/>
      <c r="J627" s="8"/>
      <c r="K627" s="8"/>
      <c r="L627" s="8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13"/>
      <c r="C628" s="13"/>
      <c r="D628" s="13"/>
      <c r="E628" s="9"/>
      <c r="F628" s="7"/>
      <c r="G628" s="8"/>
      <c r="H628" s="6"/>
      <c r="I628" s="6"/>
      <c r="J628" s="8"/>
      <c r="K628" s="8"/>
      <c r="L628" s="8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13"/>
      <c r="C629" s="13"/>
      <c r="D629" s="13"/>
      <c r="E629" s="9"/>
      <c r="F629" s="7"/>
      <c r="G629" s="8"/>
      <c r="H629" s="6"/>
      <c r="I629" s="6"/>
      <c r="J629" s="8"/>
      <c r="K629" s="8"/>
      <c r="L629" s="8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13"/>
      <c r="C630" s="13"/>
      <c r="D630" s="13"/>
      <c r="E630" s="9"/>
      <c r="F630" s="7"/>
      <c r="G630" s="8"/>
      <c r="H630" s="6"/>
      <c r="I630" s="6"/>
      <c r="J630" s="8"/>
      <c r="K630" s="8"/>
      <c r="L630" s="8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13"/>
      <c r="C631" s="13"/>
      <c r="D631" s="13"/>
      <c r="E631" s="9"/>
      <c r="F631" s="7"/>
      <c r="G631" s="8"/>
      <c r="H631" s="6"/>
      <c r="I631" s="6"/>
      <c r="J631" s="8"/>
      <c r="K631" s="8"/>
      <c r="L631" s="8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13"/>
      <c r="C632" s="13"/>
      <c r="D632" s="13"/>
      <c r="E632" s="9"/>
      <c r="F632" s="7"/>
      <c r="G632" s="8"/>
      <c r="H632" s="6"/>
      <c r="I632" s="6"/>
      <c r="J632" s="8"/>
      <c r="K632" s="8"/>
      <c r="L632" s="8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13"/>
      <c r="C633" s="13"/>
      <c r="D633" s="13"/>
      <c r="E633" s="9"/>
      <c r="F633" s="7"/>
      <c r="G633" s="8"/>
      <c r="H633" s="6"/>
      <c r="I633" s="6"/>
      <c r="J633" s="8"/>
      <c r="K633" s="8"/>
      <c r="L633" s="8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13"/>
      <c r="C634" s="13"/>
      <c r="D634" s="13"/>
      <c r="E634" s="9"/>
      <c r="F634" s="7"/>
      <c r="G634" s="8"/>
      <c r="H634" s="6"/>
      <c r="I634" s="6"/>
      <c r="J634" s="8"/>
      <c r="K634" s="8"/>
      <c r="L634" s="8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13"/>
      <c r="C635" s="13"/>
      <c r="D635" s="13"/>
      <c r="E635" s="9"/>
      <c r="F635" s="7"/>
      <c r="G635" s="8"/>
      <c r="H635" s="6"/>
      <c r="I635" s="6"/>
      <c r="J635" s="8"/>
      <c r="K635" s="8"/>
      <c r="L635" s="8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13"/>
      <c r="C636" s="13"/>
      <c r="D636" s="13"/>
      <c r="E636" s="9"/>
      <c r="F636" s="7"/>
      <c r="G636" s="8"/>
      <c r="H636" s="6"/>
      <c r="I636" s="6"/>
      <c r="J636" s="8"/>
      <c r="K636" s="8"/>
      <c r="L636" s="8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13"/>
      <c r="C637" s="13"/>
      <c r="D637" s="13"/>
      <c r="E637" s="9"/>
      <c r="F637" s="7"/>
      <c r="G637" s="8"/>
      <c r="H637" s="6"/>
      <c r="I637" s="6"/>
      <c r="J637" s="8"/>
      <c r="K637" s="8"/>
      <c r="L637" s="8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13"/>
      <c r="C638" s="13"/>
      <c r="D638" s="13"/>
      <c r="E638" s="9"/>
      <c r="F638" s="7"/>
      <c r="G638" s="8"/>
      <c r="H638" s="6"/>
      <c r="I638" s="6"/>
      <c r="J638" s="8"/>
      <c r="K638" s="8"/>
      <c r="L638" s="8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13"/>
      <c r="C639" s="13"/>
      <c r="D639" s="13"/>
      <c r="E639" s="9"/>
      <c r="F639" s="7"/>
      <c r="G639" s="8"/>
      <c r="H639" s="6"/>
      <c r="I639" s="6"/>
      <c r="J639" s="8"/>
      <c r="K639" s="8"/>
      <c r="L639" s="8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13"/>
      <c r="C640" s="13"/>
      <c r="D640" s="13"/>
      <c r="E640" s="9"/>
      <c r="F640" s="7"/>
      <c r="G640" s="8"/>
      <c r="H640" s="6"/>
      <c r="I640" s="6"/>
      <c r="J640" s="8"/>
      <c r="K640" s="8"/>
      <c r="L640" s="8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13"/>
      <c r="C641" s="13"/>
      <c r="D641" s="13"/>
      <c r="E641" s="9"/>
      <c r="F641" s="7"/>
      <c r="G641" s="8"/>
      <c r="H641" s="6"/>
      <c r="I641" s="6"/>
      <c r="J641" s="8"/>
      <c r="K641" s="8"/>
      <c r="L641" s="8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13"/>
      <c r="C642" s="13"/>
      <c r="D642" s="13"/>
      <c r="E642" s="9"/>
      <c r="F642" s="7"/>
      <c r="G642" s="8"/>
      <c r="H642" s="6"/>
      <c r="I642" s="6"/>
      <c r="J642" s="8"/>
      <c r="K642" s="8"/>
      <c r="L642" s="8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13"/>
      <c r="C643" s="13"/>
      <c r="D643" s="13"/>
      <c r="E643" s="9"/>
      <c r="F643" s="7"/>
      <c r="G643" s="8"/>
      <c r="H643" s="6"/>
      <c r="I643" s="6"/>
      <c r="J643" s="8"/>
      <c r="K643" s="8"/>
      <c r="L643" s="8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13"/>
      <c r="C644" s="13"/>
      <c r="D644" s="13"/>
      <c r="E644" s="9"/>
      <c r="F644" s="7"/>
      <c r="G644" s="8"/>
      <c r="H644" s="6"/>
      <c r="I644" s="6"/>
      <c r="J644" s="8"/>
      <c r="K644" s="8"/>
      <c r="L644" s="8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13"/>
      <c r="C645" s="13"/>
      <c r="D645" s="13"/>
      <c r="E645" s="9"/>
      <c r="F645" s="7"/>
      <c r="G645" s="8"/>
      <c r="H645" s="6"/>
      <c r="I645" s="6"/>
      <c r="J645" s="8"/>
      <c r="K645" s="8"/>
      <c r="L645" s="8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13"/>
      <c r="C646" s="13"/>
      <c r="D646" s="13"/>
      <c r="E646" s="9"/>
      <c r="F646" s="7"/>
      <c r="G646" s="8"/>
      <c r="H646" s="6"/>
      <c r="I646" s="6"/>
      <c r="J646" s="8"/>
      <c r="K646" s="8"/>
      <c r="L646" s="8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13"/>
      <c r="C647" s="13"/>
      <c r="D647" s="13"/>
      <c r="E647" s="9"/>
      <c r="F647" s="7"/>
      <c r="G647" s="8"/>
      <c r="H647" s="6"/>
      <c r="I647" s="6"/>
      <c r="J647" s="8"/>
      <c r="K647" s="8"/>
      <c r="L647" s="8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13"/>
      <c r="C648" s="13"/>
      <c r="D648" s="13"/>
      <c r="E648" s="9"/>
      <c r="F648" s="7"/>
      <c r="G648" s="8"/>
      <c r="H648" s="6"/>
      <c r="I648" s="6"/>
      <c r="J648" s="8"/>
      <c r="K648" s="8"/>
      <c r="L648" s="8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13"/>
      <c r="C649" s="13"/>
      <c r="D649" s="13"/>
      <c r="E649" s="9"/>
      <c r="F649" s="7"/>
      <c r="G649" s="8"/>
      <c r="H649" s="6"/>
      <c r="I649" s="6"/>
      <c r="J649" s="8"/>
      <c r="K649" s="8"/>
      <c r="L649" s="8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13"/>
      <c r="C650" s="13"/>
      <c r="D650" s="13"/>
      <c r="E650" s="9"/>
      <c r="F650" s="7"/>
      <c r="G650" s="8"/>
      <c r="H650" s="6"/>
      <c r="I650" s="6"/>
      <c r="J650" s="8"/>
      <c r="K650" s="8"/>
      <c r="L650" s="8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13"/>
      <c r="C651" s="13"/>
      <c r="D651" s="13"/>
      <c r="E651" s="9"/>
      <c r="F651" s="7"/>
      <c r="G651" s="8"/>
      <c r="H651" s="6"/>
      <c r="I651" s="6"/>
      <c r="J651" s="8"/>
      <c r="K651" s="8"/>
      <c r="L651" s="8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13"/>
      <c r="C652" s="13"/>
      <c r="D652" s="13"/>
      <c r="E652" s="9"/>
      <c r="F652" s="7"/>
      <c r="G652" s="8"/>
      <c r="H652" s="6"/>
      <c r="I652" s="6"/>
      <c r="J652" s="8"/>
      <c r="K652" s="8"/>
      <c r="L652" s="8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13"/>
      <c r="C653" s="13"/>
      <c r="D653" s="13"/>
      <c r="E653" s="9"/>
      <c r="F653" s="7"/>
      <c r="G653" s="8"/>
      <c r="H653" s="6"/>
      <c r="I653" s="6"/>
      <c r="J653" s="8"/>
      <c r="K653" s="8"/>
      <c r="L653" s="8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13"/>
      <c r="C654" s="13"/>
      <c r="D654" s="13"/>
      <c r="E654" s="9"/>
      <c r="F654" s="7"/>
      <c r="G654" s="8"/>
      <c r="H654" s="6"/>
      <c r="I654" s="6"/>
      <c r="J654" s="8"/>
      <c r="K654" s="8"/>
      <c r="L654" s="8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13"/>
      <c r="C655" s="13"/>
      <c r="D655" s="13"/>
      <c r="E655" s="9"/>
      <c r="F655" s="7"/>
      <c r="G655" s="8"/>
      <c r="H655" s="6"/>
      <c r="I655" s="6"/>
      <c r="J655" s="8"/>
      <c r="K655" s="8"/>
      <c r="L655" s="8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13"/>
      <c r="C656" s="13"/>
      <c r="D656" s="13"/>
      <c r="E656" s="9"/>
      <c r="F656" s="7"/>
      <c r="G656" s="8"/>
      <c r="H656" s="6"/>
      <c r="I656" s="6"/>
      <c r="J656" s="8"/>
      <c r="K656" s="8"/>
      <c r="L656" s="8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13"/>
      <c r="C657" s="13"/>
      <c r="D657" s="13"/>
      <c r="E657" s="9"/>
      <c r="F657" s="7"/>
      <c r="G657" s="8"/>
      <c r="H657" s="6"/>
      <c r="I657" s="6"/>
      <c r="J657" s="8"/>
      <c r="K657" s="8"/>
      <c r="L657" s="8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13"/>
      <c r="C658" s="13"/>
      <c r="D658" s="13"/>
      <c r="E658" s="9"/>
      <c r="F658" s="7"/>
      <c r="G658" s="8"/>
      <c r="H658" s="6"/>
      <c r="I658" s="6"/>
      <c r="J658" s="8"/>
      <c r="K658" s="8"/>
      <c r="L658" s="8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13"/>
      <c r="C659" s="13"/>
      <c r="D659" s="13"/>
      <c r="E659" s="9"/>
      <c r="F659" s="7"/>
      <c r="G659" s="8"/>
      <c r="H659" s="6"/>
      <c r="I659" s="6"/>
      <c r="J659" s="8"/>
      <c r="K659" s="8"/>
      <c r="L659" s="8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13"/>
      <c r="C660" s="13"/>
      <c r="D660" s="13"/>
      <c r="E660" s="9"/>
      <c r="F660" s="7"/>
      <c r="G660" s="8"/>
      <c r="H660" s="6"/>
      <c r="I660" s="6"/>
      <c r="J660" s="8"/>
      <c r="K660" s="8"/>
      <c r="L660" s="8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13"/>
      <c r="C661" s="13"/>
      <c r="D661" s="13"/>
      <c r="E661" s="9"/>
      <c r="F661" s="7"/>
      <c r="G661" s="8"/>
      <c r="H661" s="6"/>
      <c r="I661" s="6"/>
      <c r="J661" s="8"/>
      <c r="K661" s="8"/>
      <c r="L661" s="8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13"/>
      <c r="C662" s="13"/>
      <c r="D662" s="13"/>
      <c r="E662" s="9"/>
      <c r="F662" s="7"/>
      <c r="G662" s="8"/>
      <c r="H662" s="6"/>
      <c r="I662" s="6"/>
      <c r="J662" s="8"/>
      <c r="K662" s="8"/>
      <c r="L662" s="8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13"/>
      <c r="C663" s="13"/>
      <c r="D663" s="13"/>
      <c r="E663" s="9"/>
      <c r="F663" s="7"/>
      <c r="G663" s="8"/>
      <c r="H663" s="6"/>
      <c r="I663" s="6"/>
      <c r="J663" s="8"/>
      <c r="K663" s="8"/>
      <c r="L663" s="8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13"/>
      <c r="C664" s="13"/>
      <c r="D664" s="13"/>
      <c r="E664" s="9"/>
      <c r="F664" s="7"/>
      <c r="G664" s="8"/>
      <c r="H664" s="6"/>
      <c r="I664" s="6"/>
      <c r="J664" s="8"/>
      <c r="K664" s="8"/>
      <c r="L664" s="8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13"/>
      <c r="C665" s="13"/>
      <c r="D665" s="13"/>
      <c r="E665" s="9"/>
      <c r="F665" s="7"/>
      <c r="G665" s="8"/>
      <c r="H665" s="6"/>
      <c r="I665" s="6"/>
      <c r="J665" s="8"/>
      <c r="K665" s="8"/>
      <c r="L665" s="8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13"/>
      <c r="C666" s="13"/>
      <c r="D666" s="13"/>
      <c r="E666" s="9"/>
      <c r="F666" s="7"/>
      <c r="G666" s="8"/>
      <c r="H666" s="6"/>
      <c r="I666" s="6"/>
      <c r="J666" s="8"/>
      <c r="K666" s="8"/>
      <c r="L666" s="8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13"/>
      <c r="C667" s="13"/>
      <c r="D667" s="13"/>
      <c r="E667" s="9"/>
      <c r="F667" s="7"/>
      <c r="G667" s="8"/>
      <c r="H667" s="6"/>
      <c r="I667" s="6"/>
      <c r="J667" s="8"/>
      <c r="K667" s="8"/>
      <c r="L667" s="8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13"/>
      <c r="C668" s="13"/>
      <c r="D668" s="13"/>
      <c r="E668" s="9"/>
      <c r="F668" s="7"/>
      <c r="G668" s="8"/>
      <c r="H668" s="6"/>
      <c r="I668" s="6"/>
      <c r="J668" s="8"/>
      <c r="K668" s="8"/>
      <c r="L668" s="8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13"/>
      <c r="C669" s="13"/>
      <c r="D669" s="13"/>
      <c r="E669" s="9"/>
      <c r="F669" s="7"/>
      <c r="G669" s="8"/>
      <c r="H669" s="6"/>
      <c r="I669" s="6"/>
      <c r="J669" s="8"/>
      <c r="K669" s="8"/>
      <c r="L669" s="8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13"/>
      <c r="C670" s="13"/>
      <c r="D670" s="13"/>
      <c r="E670" s="9"/>
      <c r="F670" s="7"/>
      <c r="G670" s="8"/>
      <c r="H670" s="6"/>
      <c r="I670" s="6"/>
      <c r="J670" s="8"/>
      <c r="K670" s="8"/>
      <c r="L670" s="8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13"/>
      <c r="C671" s="13"/>
      <c r="D671" s="13"/>
      <c r="E671" s="9"/>
      <c r="F671" s="7"/>
      <c r="G671" s="8"/>
      <c r="H671" s="6"/>
      <c r="I671" s="6"/>
      <c r="J671" s="8"/>
      <c r="K671" s="8"/>
      <c r="L671" s="8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13"/>
      <c r="C672" s="13"/>
      <c r="D672" s="13"/>
      <c r="E672" s="9"/>
      <c r="F672" s="7"/>
      <c r="G672" s="8"/>
      <c r="H672" s="6"/>
      <c r="I672" s="6"/>
      <c r="J672" s="8"/>
      <c r="K672" s="8"/>
      <c r="L672" s="8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13"/>
      <c r="C673" s="13"/>
      <c r="D673" s="13"/>
      <c r="E673" s="9"/>
      <c r="F673" s="7"/>
      <c r="G673" s="8"/>
      <c r="H673" s="6"/>
      <c r="I673" s="6"/>
      <c r="J673" s="8"/>
      <c r="K673" s="8"/>
      <c r="L673" s="8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13"/>
      <c r="C674" s="13"/>
      <c r="D674" s="13"/>
      <c r="E674" s="9"/>
      <c r="F674" s="7"/>
      <c r="G674" s="8"/>
      <c r="H674" s="6"/>
      <c r="I674" s="6"/>
      <c r="J674" s="8"/>
      <c r="K674" s="8"/>
      <c r="L674" s="8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13"/>
      <c r="C675" s="13"/>
      <c r="D675" s="13"/>
      <c r="E675" s="9"/>
      <c r="F675" s="7"/>
      <c r="G675" s="8"/>
      <c r="H675" s="6"/>
      <c r="I675" s="6"/>
      <c r="J675" s="8"/>
      <c r="K675" s="8"/>
      <c r="L675" s="8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13"/>
      <c r="C676" s="13"/>
      <c r="D676" s="13"/>
      <c r="E676" s="9"/>
      <c r="F676" s="7"/>
      <c r="G676" s="8"/>
      <c r="H676" s="6"/>
      <c r="I676" s="6"/>
      <c r="J676" s="8"/>
      <c r="K676" s="8"/>
      <c r="L676" s="8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13"/>
      <c r="C677" s="13"/>
      <c r="D677" s="13"/>
      <c r="E677" s="9"/>
      <c r="F677" s="7"/>
      <c r="G677" s="8"/>
      <c r="H677" s="6"/>
      <c r="I677" s="6"/>
      <c r="J677" s="8"/>
      <c r="K677" s="8"/>
      <c r="L677" s="8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13"/>
      <c r="C678" s="13"/>
      <c r="D678" s="13"/>
      <c r="E678" s="9"/>
      <c r="F678" s="7"/>
      <c r="G678" s="8"/>
      <c r="H678" s="6"/>
      <c r="I678" s="6"/>
      <c r="J678" s="8"/>
      <c r="K678" s="8"/>
      <c r="L678" s="8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13"/>
      <c r="C679" s="13"/>
      <c r="D679" s="13"/>
      <c r="E679" s="9"/>
      <c r="F679" s="7"/>
      <c r="G679" s="8"/>
      <c r="H679" s="6"/>
      <c r="I679" s="6"/>
      <c r="J679" s="8"/>
      <c r="K679" s="8"/>
      <c r="L679" s="8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13"/>
      <c r="C680" s="13"/>
      <c r="D680" s="13"/>
      <c r="E680" s="9"/>
      <c r="F680" s="7"/>
      <c r="G680" s="8"/>
      <c r="H680" s="6"/>
      <c r="I680" s="6"/>
      <c r="J680" s="8"/>
      <c r="K680" s="8"/>
      <c r="L680" s="8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13"/>
      <c r="C681" s="13"/>
      <c r="D681" s="13"/>
      <c r="E681" s="9"/>
      <c r="F681" s="7"/>
      <c r="G681" s="8"/>
      <c r="H681" s="6"/>
      <c r="I681" s="6"/>
      <c r="J681" s="8"/>
      <c r="K681" s="8"/>
      <c r="L681" s="8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13"/>
      <c r="C682" s="13"/>
      <c r="D682" s="13"/>
      <c r="E682" s="9"/>
      <c r="F682" s="7"/>
      <c r="G682" s="8"/>
      <c r="H682" s="6"/>
      <c r="I682" s="6"/>
      <c r="J682" s="8"/>
      <c r="K682" s="8"/>
      <c r="L682" s="8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13"/>
      <c r="C683" s="13"/>
      <c r="D683" s="13"/>
      <c r="E683" s="9"/>
      <c r="F683" s="7"/>
      <c r="G683" s="8"/>
      <c r="H683" s="6"/>
      <c r="I683" s="6"/>
      <c r="J683" s="8"/>
      <c r="K683" s="8"/>
      <c r="L683" s="8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13"/>
      <c r="C684" s="13"/>
      <c r="D684" s="13"/>
      <c r="E684" s="9"/>
      <c r="F684" s="7"/>
      <c r="G684" s="8"/>
      <c r="H684" s="6"/>
      <c r="I684" s="6"/>
      <c r="J684" s="8"/>
      <c r="K684" s="8"/>
      <c r="L684" s="8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13"/>
      <c r="C685" s="13"/>
      <c r="D685" s="13"/>
      <c r="E685" s="9"/>
      <c r="F685" s="7"/>
      <c r="G685" s="8"/>
      <c r="H685" s="6"/>
      <c r="I685" s="6"/>
      <c r="J685" s="8"/>
      <c r="K685" s="8"/>
      <c r="L685" s="8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13"/>
      <c r="C686" s="13"/>
      <c r="D686" s="13"/>
      <c r="E686" s="9"/>
      <c r="F686" s="7"/>
      <c r="G686" s="8"/>
      <c r="H686" s="6"/>
      <c r="I686" s="6"/>
      <c r="J686" s="8"/>
      <c r="K686" s="8"/>
      <c r="L686" s="8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13"/>
      <c r="C687" s="13"/>
      <c r="D687" s="13"/>
      <c r="E687" s="9"/>
      <c r="F687" s="7"/>
      <c r="G687" s="8"/>
      <c r="H687" s="6"/>
      <c r="I687" s="6"/>
      <c r="J687" s="8"/>
      <c r="K687" s="8"/>
      <c r="L687" s="8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13"/>
      <c r="C688" s="13"/>
      <c r="D688" s="13"/>
      <c r="E688" s="9"/>
      <c r="F688" s="7"/>
      <c r="G688" s="8"/>
      <c r="H688" s="6"/>
      <c r="I688" s="6"/>
      <c r="J688" s="8"/>
      <c r="K688" s="8"/>
      <c r="L688" s="8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13"/>
      <c r="C689" s="13"/>
      <c r="D689" s="13"/>
      <c r="E689" s="9"/>
      <c r="F689" s="7"/>
      <c r="G689" s="8"/>
      <c r="H689" s="6"/>
      <c r="I689" s="6"/>
      <c r="J689" s="8"/>
      <c r="K689" s="8"/>
      <c r="L689" s="8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13"/>
      <c r="C690" s="13"/>
      <c r="D690" s="13"/>
      <c r="E690" s="9"/>
      <c r="F690" s="7"/>
      <c r="G690" s="8"/>
      <c r="H690" s="6"/>
      <c r="I690" s="6"/>
      <c r="J690" s="8"/>
      <c r="K690" s="8"/>
      <c r="L690" s="8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13"/>
      <c r="C691" s="13"/>
      <c r="D691" s="13"/>
      <c r="E691" s="9"/>
      <c r="F691" s="7"/>
      <c r="G691" s="8"/>
      <c r="H691" s="6"/>
      <c r="I691" s="6"/>
      <c r="J691" s="8"/>
      <c r="K691" s="8"/>
      <c r="L691" s="8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13"/>
      <c r="C692" s="13"/>
      <c r="D692" s="13"/>
      <c r="E692" s="9"/>
      <c r="F692" s="7"/>
      <c r="G692" s="8"/>
      <c r="H692" s="6"/>
      <c r="I692" s="6"/>
      <c r="J692" s="8"/>
      <c r="K692" s="8"/>
      <c r="L692" s="8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13"/>
      <c r="C693" s="13"/>
      <c r="D693" s="13"/>
      <c r="E693" s="9"/>
      <c r="F693" s="7"/>
      <c r="G693" s="8"/>
      <c r="H693" s="6"/>
      <c r="I693" s="6"/>
      <c r="J693" s="8"/>
      <c r="K693" s="8"/>
      <c r="L693" s="8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13"/>
      <c r="C694" s="13"/>
      <c r="D694" s="13"/>
      <c r="E694" s="9"/>
      <c r="F694" s="7"/>
      <c r="G694" s="8"/>
      <c r="H694" s="6"/>
      <c r="I694" s="6"/>
      <c r="J694" s="8"/>
      <c r="K694" s="8"/>
      <c r="L694" s="8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13"/>
      <c r="C695" s="13"/>
      <c r="D695" s="13"/>
      <c r="E695" s="9"/>
      <c r="F695" s="7"/>
      <c r="G695" s="8"/>
      <c r="H695" s="6"/>
      <c r="I695" s="6"/>
      <c r="J695" s="8"/>
      <c r="K695" s="8"/>
      <c r="L695" s="8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13"/>
      <c r="C696" s="13"/>
      <c r="D696" s="13"/>
      <c r="E696" s="9"/>
      <c r="F696" s="7"/>
      <c r="G696" s="8"/>
      <c r="H696" s="6"/>
      <c r="I696" s="6"/>
      <c r="J696" s="8"/>
      <c r="K696" s="8"/>
      <c r="L696" s="8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13"/>
      <c r="C697" s="13"/>
      <c r="D697" s="13"/>
      <c r="E697" s="9"/>
      <c r="F697" s="7"/>
      <c r="G697" s="8"/>
      <c r="H697" s="6"/>
      <c r="I697" s="6"/>
      <c r="J697" s="8"/>
      <c r="K697" s="8"/>
      <c r="L697" s="8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13"/>
      <c r="C698" s="13"/>
      <c r="D698" s="13"/>
      <c r="E698" s="9"/>
      <c r="F698" s="7"/>
      <c r="G698" s="8"/>
      <c r="H698" s="6"/>
      <c r="I698" s="6"/>
      <c r="J698" s="8"/>
      <c r="K698" s="8"/>
      <c r="L698" s="8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13"/>
      <c r="C699" s="13"/>
      <c r="D699" s="13"/>
      <c r="E699" s="9"/>
      <c r="F699" s="7"/>
      <c r="G699" s="8"/>
      <c r="H699" s="6"/>
      <c r="I699" s="6"/>
      <c r="J699" s="8"/>
      <c r="K699" s="8"/>
      <c r="L699" s="8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13"/>
      <c r="C700" s="13"/>
      <c r="D700" s="13"/>
      <c r="E700" s="9"/>
      <c r="F700" s="7"/>
      <c r="G700" s="8"/>
      <c r="H700" s="6"/>
      <c r="I700" s="6"/>
      <c r="J700" s="8"/>
      <c r="K700" s="8"/>
      <c r="L700" s="8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13"/>
      <c r="C701" s="13"/>
      <c r="D701" s="13"/>
      <c r="E701" s="9"/>
      <c r="F701" s="7"/>
      <c r="G701" s="8"/>
      <c r="H701" s="6"/>
      <c r="I701" s="6"/>
      <c r="J701" s="8"/>
      <c r="K701" s="8"/>
      <c r="L701" s="8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13"/>
      <c r="C702" s="13"/>
      <c r="D702" s="13"/>
      <c r="E702" s="9"/>
      <c r="F702" s="7"/>
      <c r="G702" s="8"/>
      <c r="H702" s="6"/>
      <c r="I702" s="6"/>
      <c r="J702" s="8"/>
      <c r="K702" s="8"/>
      <c r="L702" s="8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13"/>
      <c r="C703" s="13"/>
      <c r="D703" s="13"/>
      <c r="E703" s="9"/>
      <c r="F703" s="7"/>
      <c r="G703" s="8"/>
      <c r="H703" s="6"/>
      <c r="I703" s="6"/>
      <c r="J703" s="8"/>
      <c r="K703" s="8"/>
      <c r="L703" s="8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13"/>
      <c r="C704" s="13"/>
      <c r="D704" s="13"/>
      <c r="E704" s="9"/>
      <c r="F704" s="7"/>
      <c r="G704" s="8"/>
      <c r="H704" s="6"/>
      <c r="I704" s="6"/>
      <c r="J704" s="8"/>
      <c r="K704" s="8"/>
      <c r="L704" s="8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13"/>
      <c r="C705" s="13"/>
      <c r="D705" s="13"/>
      <c r="E705" s="9"/>
      <c r="F705" s="7"/>
      <c r="G705" s="8"/>
      <c r="H705" s="6"/>
      <c r="I705" s="6"/>
      <c r="J705" s="8"/>
      <c r="K705" s="8"/>
      <c r="L705" s="8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13"/>
      <c r="C706" s="13"/>
      <c r="D706" s="13"/>
      <c r="E706" s="9"/>
      <c r="F706" s="7"/>
      <c r="G706" s="8"/>
      <c r="H706" s="6"/>
      <c r="I706" s="6"/>
      <c r="J706" s="8"/>
      <c r="K706" s="8"/>
      <c r="L706" s="8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13"/>
      <c r="C707" s="13"/>
      <c r="D707" s="13"/>
      <c r="E707" s="9"/>
      <c r="F707" s="7"/>
      <c r="G707" s="8"/>
      <c r="H707" s="6"/>
      <c r="I707" s="6"/>
      <c r="J707" s="8"/>
      <c r="K707" s="8"/>
      <c r="L707" s="8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13"/>
      <c r="C708" s="13"/>
      <c r="D708" s="13"/>
      <c r="E708" s="9"/>
      <c r="F708" s="7"/>
      <c r="G708" s="8"/>
      <c r="H708" s="6"/>
      <c r="I708" s="6"/>
      <c r="J708" s="8"/>
      <c r="K708" s="8"/>
      <c r="L708" s="8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13"/>
      <c r="C709" s="13"/>
      <c r="D709" s="13"/>
      <c r="E709" s="9"/>
      <c r="F709" s="7"/>
      <c r="G709" s="8"/>
      <c r="H709" s="6"/>
      <c r="I709" s="6"/>
      <c r="J709" s="8"/>
      <c r="K709" s="8"/>
      <c r="L709" s="8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13"/>
      <c r="C710" s="13"/>
      <c r="D710" s="13"/>
      <c r="E710" s="9"/>
      <c r="F710" s="7"/>
      <c r="G710" s="8"/>
      <c r="H710" s="6"/>
      <c r="I710" s="6"/>
      <c r="J710" s="8"/>
      <c r="K710" s="8"/>
      <c r="L710" s="8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13"/>
      <c r="C711" s="13"/>
      <c r="D711" s="13"/>
      <c r="E711" s="9"/>
      <c r="F711" s="7"/>
      <c r="G711" s="8"/>
      <c r="H711" s="6"/>
      <c r="I711" s="6"/>
      <c r="J711" s="8"/>
      <c r="K711" s="8"/>
      <c r="L711" s="8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13"/>
      <c r="C712" s="13"/>
      <c r="D712" s="13"/>
      <c r="E712" s="9"/>
      <c r="F712" s="7"/>
      <c r="G712" s="8"/>
      <c r="H712" s="6"/>
      <c r="I712" s="6"/>
      <c r="J712" s="8"/>
      <c r="K712" s="8"/>
      <c r="L712" s="8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13"/>
      <c r="C713" s="13"/>
      <c r="D713" s="13"/>
      <c r="E713" s="9"/>
      <c r="F713" s="7"/>
      <c r="G713" s="8"/>
      <c r="H713" s="6"/>
      <c r="I713" s="6"/>
      <c r="J713" s="8"/>
      <c r="K713" s="8"/>
      <c r="L713" s="8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13"/>
      <c r="C714" s="13"/>
      <c r="D714" s="13"/>
      <c r="E714" s="9"/>
      <c r="F714" s="7"/>
      <c r="G714" s="8"/>
      <c r="H714" s="6"/>
      <c r="I714" s="6"/>
      <c r="J714" s="8"/>
      <c r="K714" s="8"/>
      <c r="L714" s="8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13"/>
      <c r="C715" s="13"/>
      <c r="D715" s="13"/>
      <c r="E715" s="9"/>
      <c r="F715" s="7"/>
      <c r="G715" s="8"/>
      <c r="H715" s="6"/>
      <c r="I715" s="6"/>
      <c r="J715" s="8"/>
      <c r="K715" s="8"/>
      <c r="L715" s="8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13"/>
      <c r="C716" s="13"/>
      <c r="D716" s="13"/>
      <c r="E716" s="9"/>
      <c r="F716" s="7"/>
      <c r="G716" s="8"/>
      <c r="H716" s="6"/>
      <c r="I716" s="6"/>
      <c r="J716" s="8"/>
      <c r="K716" s="8"/>
      <c r="L716" s="8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13"/>
      <c r="C717" s="13"/>
      <c r="D717" s="13"/>
      <c r="E717" s="9"/>
      <c r="F717" s="7"/>
      <c r="G717" s="8"/>
      <c r="H717" s="6"/>
      <c r="I717" s="6"/>
      <c r="J717" s="8"/>
      <c r="K717" s="8"/>
      <c r="L717" s="8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13"/>
      <c r="C718" s="13"/>
      <c r="D718" s="13"/>
      <c r="E718" s="9"/>
      <c r="F718" s="7"/>
      <c r="G718" s="8"/>
      <c r="H718" s="6"/>
      <c r="I718" s="6"/>
      <c r="J718" s="8"/>
      <c r="K718" s="8"/>
      <c r="L718" s="8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13"/>
      <c r="C719" s="13"/>
      <c r="D719" s="13"/>
      <c r="E719" s="9"/>
      <c r="F719" s="7"/>
      <c r="G719" s="8"/>
      <c r="H719" s="6"/>
      <c r="I719" s="6"/>
      <c r="J719" s="8"/>
      <c r="K719" s="8"/>
      <c r="L719" s="8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13"/>
      <c r="C720" s="13"/>
      <c r="D720" s="13"/>
      <c r="E720" s="9"/>
      <c r="F720" s="7"/>
      <c r="G720" s="8"/>
      <c r="H720" s="6"/>
      <c r="I720" s="6"/>
      <c r="J720" s="8"/>
      <c r="K720" s="8"/>
      <c r="L720" s="8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13"/>
      <c r="C721" s="13"/>
      <c r="D721" s="13"/>
      <c r="E721" s="9"/>
      <c r="F721" s="7"/>
      <c r="G721" s="8"/>
      <c r="H721" s="6"/>
      <c r="I721" s="6"/>
      <c r="J721" s="8"/>
      <c r="K721" s="8"/>
      <c r="L721" s="8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13"/>
      <c r="C722" s="13"/>
      <c r="D722" s="13"/>
      <c r="E722" s="9"/>
      <c r="F722" s="7"/>
      <c r="G722" s="8"/>
      <c r="H722" s="6"/>
      <c r="I722" s="6"/>
      <c r="J722" s="8"/>
      <c r="K722" s="8"/>
      <c r="L722" s="8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13"/>
      <c r="C723" s="13"/>
      <c r="D723" s="13"/>
      <c r="E723" s="9"/>
      <c r="F723" s="7"/>
      <c r="G723" s="8"/>
      <c r="H723" s="6"/>
      <c r="I723" s="6"/>
      <c r="J723" s="8"/>
      <c r="K723" s="8"/>
      <c r="L723" s="8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13"/>
      <c r="C724" s="13"/>
      <c r="D724" s="13"/>
      <c r="E724" s="9"/>
      <c r="F724" s="7"/>
      <c r="G724" s="8"/>
      <c r="H724" s="6"/>
      <c r="I724" s="6"/>
      <c r="J724" s="8"/>
      <c r="K724" s="8"/>
      <c r="L724" s="8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13"/>
      <c r="C725" s="13"/>
      <c r="D725" s="13"/>
      <c r="E725" s="9"/>
      <c r="F725" s="7"/>
      <c r="G725" s="8"/>
      <c r="H725" s="6"/>
      <c r="I725" s="6"/>
      <c r="J725" s="8"/>
      <c r="K725" s="8"/>
      <c r="L725" s="8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13"/>
      <c r="C726" s="13"/>
      <c r="D726" s="13"/>
      <c r="E726" s="9"/>
      <c r="F726" s="7"/>
      <c r="G726" s="8"/>
      <c r="H726" s="6"/>
      <c r="I726" s="6"/>
      <c r="J726" s="8"/>
      <c r="K726" s="8"/>
      <c r="L726" s="8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13"/>
      <c r="C727" s="13"/>
      <c r="D727" s="13"/>
      <c r="E727" s="9"/>
      <c r="F727" s="7"/>
      <c r="G727" s="8"/>
      <c r="H727" s="6"/>
      <c r="I727" s="6"/>
      <c r="J727" s="8"/>
      <c r="K727" s="8"/>
      <c r="L727" s="8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13"/>
      <c r="C728" s="13"/>
      <c r="D728" s="13"/>
      <c r="E728" s="9"/>
      <c r="F728" s="7"/>
      <c r="G728" s="8"/>
      <c r="H728" s="6"/>
      <c r="I728" s="6"/>
      <c r="J728" s="8"/>
      <c r="K728" s="8"/>
      <c r="L728" s="8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13"/>
      <c r="C729" s="13"/>
      <c r="D729" s="13"/>
      <c r="E729" s="9"/>
      <c r="F729" s="7"/>
      <c r="G729" s="8"/>
      <c r="H729" s="6"/>
      <c r="I729" s="6"/>
      <c r="J729" s="8"/>
      <c r="K729" s="8"/>
      <c r="L729" s="8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13"/>
      <c r="C730" s="13"/>
      <c r="D730" s="13"/>
      <c r="E730" s="9"/>
      <c r="F730" s="7"/>
      <c r="G730" s="8"/>
      <c r="H730" s="6"/>
      <c r="I730" s="6"/>
      <c r="J730" s="8"/>
      <c r="K730" s="8"/>
      <c r="L730" s="8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13"/>
      <c r="C731" s="13"/>
      <c r="D731" s="13"/>
      <c r="E731" s="9"/>
      <c r="F731" s="7"/>
      <c r="G731" s="8"/>
      <c r="H731" s="6"/>
      <c r="I731" s="6"/>
      <c r="J731" s="8"/>
      <c r="K731" s="8"/>
      <c r="L731" s="8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13"/>
      <c r="C732" s="13"/>
      <c r="D732" s="13"/>
      <c r="E732" s="9"/>
      <c r="F732" s="7"/>
      <c r="G732" s="8"/>
      <c r="H732" s="6"/>
      <c r="I732" s="6"/>
      <c r="J732" s="8"/>
      <c r="K732" s="8"/>
      <c r="L732" s="8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13"/>
      <c r="C733" s="13"/>
      <c r="D733" s="13"/>
      <c r="E733" s="9"/>
      <c r="F733" s="7"/>
      <c r="G733" s="8"/>
      <c r="H733" s="6"/>
      <c r="I733" s="6"/>
      <c r="J733" s="8"/>
      <c r="K733" s="8"/>
      <c r="L733" s="8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13"/>
      <c r="C734" s="13"/>
      <c r="D734" s="13"/>
      <c r="E734" s="9"/>
      <c r="F734" s="7"/>
      <c r="G734" s="8"/>
      <c r="H734" s="6"/>
      <c r="I734" s="6"/>
      <c r="J734" s="8"/>
      <c r="K734" s="8"/>
      <c r="L734" s="8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13"/>
      <c r="C735" s="13"/>
      <c r="D735" s="13"/>
      <c r="E735" s="9"/>
      <c r="F735" s="7"/>
      <c r="G735" s="8"/>
      <c r="H735" s="6"/>
      <c r="I735" s="6"/>
      <c r="J735" s="8"/>
      <c r="K735" s="8"/>
      <c r="L735" s="8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13"/>
      <c r="C736" s="13"/>
      <c r="D736" s="13"/>
      <c r="E736" s="9"/>
      <c r="F736" s="7"/>
      <c r="G736" s="8"/>
      <c r="H736" s="6"/>
      <c r="I736" s="6"/>
      <c r="J736" s="8"/>
      <c r="K736" s="8"/>
      <c r="L736" s="8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13"/>
      <c r="C737" s="13"/>
      <c r="D737" s="13"/>
      <c r="E737" s="9"/>
      <c r="F737" s="7"/>
      <c r="G737" s="8"/>
      <c r="H737" s="6"/>
      <c r="I737" s="6"/>
      <c r="J737" s="8"/>
      <c r="K737" s="8"/>
      <c r="L737" s="8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13"/>
      <c r="C738" s="13"/>
      <c r="D738" s="13"/>
      <c r="E738" s="9"/>
      <c r="F738" s="7"/>
      <c r="G738" s="8"/>
      <c r="H738" s="6"/>
      <c r="I738" s="6"/>
      <c r="J738" s="8"/>
      <c r="K738" s="8"/>
      <c r="L738" s="8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13"/>
      <c r="C739" s="13"/>
      <c r="D739" s="13"/>
      <c r="E739" s="9"/>
      <c r="F739" s="7"/>
      <c r="G739" s="8"/>
      <c r="H739" s="6"/>
      <c r="I739" s="6"/>
      <c r="J739" s="8"/>
      <c r="K739" s="8"/>
      <c r="L739" s="8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13"/>
      <c r="C740" s="13"/>
      <c r="D740" s="13"/>
      <c r="E740" s="9"/>
      <c r="F740" s="7"/>
      <c r="G740" s="8"/>
      <c r="H740" s="6"/>
      <c r="I740" s="6"/>
      <c r="J740" s="8"/>
      <c r="K740" s="8"/>
      <c r="L740" s="8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13"/>
      <c r="C741" s="13"/>
      <c r="D741" s="13"/>
      <c r="E741" s="9"/>
      <c r="F741" s="7"/>
      <c r="G741" s="8"/>
      <c r="H741" s="6"/>
      <c r="I741" s="6"/>
      <c r="J741" s="8"/>
      <c r="K741" s="8"/>
      <c r="L741" s="8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13"/>
      <c r="C742" s="13"/>
      <c r="D742" s="13"/>
      <c r="E742" s="9"/>
      <c r="F742" s="7"/>
      <c r="G742" s="8"/>
      <c r="H742" s="6"/>
      <c r="I742" s="6"/>
      <c r="J742" s="8"/>
      <c r="K742" s="8"/>
      <c r="L742" s="8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13"/>
      <c r="C743" s="13"/>
      <c r="D743" s="13"/>
      <c r="E743" s="9"/>
      <c r="F743" s="7"/>
      <c r="G743" s="8"/>
      <c r="H743" s="6"/>
      <c r="I743" s="6"/>
      <c r="J743" s="8"/>
      <c r="K743" s="8"/>
      <c r="L743" s="8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13"/>
      <c r="C744" s="13"/>
      <c r="D744" s="13"/>
      <c r="E744" s="9"/>
      <c r="F744" s="7"/>
      <c r="G744" s="8"/>
      <c r="H744" s="6"/>
      <c r="I744" s="6"/>
      <c r="J744" s="8"/>
      <c r="K744" s="8"/>
      <c r="L744" s="8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13"/>
      <c r="C745" s="13"/>
      <c r="D745" s="13"/>
      <c r="E745" s="9"/>
      <c r="F745" s="7"/>
      <c r="G745" s="8"/>
      <c r="H745" s="6"/>
      <c r="I745" s="6"/>
      <c r="J745" s="8"/>
      <c r="K745" s="8"/>
      <c r="L745" s="8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13"/>
      <c r="C746" s="13"/>
      <c r="D746" s="13"/>
      <c r="E746" s="9"/>
      <c r="F746" s="7"/>
      <c r="G746" s="8"/>
      <c r="H746" s="6"/>
      <c r="I746" s="6"/>
      <c r="J746" s="8"/>
      <c r="K746" s="8"/>
      <c r="L746" s="8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13"/>
      <c r="C747" s="13"/>
      <c r="D747" s="13"/>
      <c r="E747" s="9"/>
      <c r="F747" s="7"/>
      <c r="G747" s="8"/>
      <c r="H747" s="6"/>
      <c r="I747" s="6"/>
      <c r="J747" s="8"/>
      <c r="K747" s="8"/>
      <c r="L747" s="8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13"/>
      <c r="C748" s="13"/>
      <c r="D748" s="13"/>
      <c r="E748" s="9"/>
      <c r="F748" s="7"/>
      <c r="G748" s="8"/>
      <c r="H748" s="6"/>
      <c r="I748" s="6"/>
      <c r="J748" s="8"/>
      <c r="K748" s="8"/>
      <c r="L748" s="8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13"/>
      <c r="C749" s="13"/>
      <c r="D749" s="13"/>
      <c r="E749" s="9"/>
      <c r="F749" s="7"/>
      <c r="G749" s="8"/>
      <c r="H749" s="6"/>
      <c r="I749" s="6"/>
      <c r="J749" s="8"/>
      <c r="K749" s="8"/>
      <c r="L749" s="8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13"/>
      <c r="C750" s="13"/>
      <c r="D750" s="13"/>
      <c r="E750" s="9"/>
      <c r="F750" s="7"/>
      <c r="G750" s="8"/>
      <c r="H750" s="6"/>
      <c r="I750" s="6"/>
      <c r="J750" s="8"/>
      <c r="K750" s="8"/>
      <c r="L750" s="8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13"/>
      <c r="C751" s="13"/>
      <c r="D751" s="13"/>
      <c r="E751" s="9"/>
      <c r="F751" s="7"/>
      <c r="G751" s="8"/>
      <c r="H751" s="6"/>
      <c r="I751" s="6"/>
      <c r="J751" s="8"/>
      <c r="K751" s="8"/>
      <c r="L751" s="8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13"/>
      <c r="C752" s="13"/>
      <c r="D752" s="13"/>
      <c r="E752" s="9"/>
      <c r="F752" s="7"/>
      <c r="G752" s="8"/>
      <c r="H752" s="6"/>
      <c r="I752" s="6"/>
      <c r="J752" s="8"/>
      <c r="K752" s="8"/>
      <c r="L752" s="8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13"/>
      <c r="C753" s="13"/>
      <c r="D753" s="13"/>
      <c r="E753" s="9"/>
      <c r="F753" s="7"/>
      <c r="G753" s="8"/>
      <c r="H753" s="6"/>
      <c r="I753" s="6"/>
      <c r="J753" s="8"/>
      <c r="K753" s="8"/>
      <c r="L753" s="8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13"/>
      <c r="C754" s="13"/>
      <c r="D754" s="13"/>
      <c r="E754" s="9"/>
      <c r="F754" s="7"/>
      <c r="G754" s="8"/>
      <c r="H754" s="6"/>
      <c r="I754" s="6"/>
      <c r="J754" s="8"/>
      <c r="K754" s="8"/>
      <c r="L754" s="8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13"/>
      <c r="C755" s="13"/>
      <c r="D755" s="13"/>
      <c r="E755" s="9"/>
      <c r="F755" s="7"/>
      <c r="G755" s="8"/>
      <c r="H755" s="6"/>
      <c r="I755" s="6"/>
      <c r="J755" s="8"/>
      <c r="K755" s="8"/>
      <c r="L755" s="8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13"/>
      <c r="C756" s="13"/>
      <c r="D756" s="13"/>
      <c r="E756" s="9"/>
      <c r="F756" s="7"/>
      <c r="G756" s="8"/>
      <c r="H756" s="6"/>
      <c r="I756" s="6"/>
      <c r="J756" s="8"/>
      <c r="K756" s="8"/>
      <c r="L756" s="8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13"/>
      <c r="C757" s="13"/>
      <c r="D757" s="13"/>
      <c r="E757" s="9"/>
      <c r="F757" s="7"/>
      <c r="G757" s="8"/>
      <c r="H757" s="6"/>
      <c r="I757" s="6"/>
      <c r="J757" s="8"/>
      <c r="K757" s="8"/>
      <c r="L757" s="8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13"/>
      <c r="C758" s="13"/>
      <c r="D758" s="13"/>
      <c r="E758" s="9"/>
      <c r="F758" s="7"/>
      <c r="G758" s="8"/>
      <c r="H758" s="6"/>
      <c r="I758" s="6"/>
      <c r="J758" s="8"/>
      <c r="K758" s="8"/>
      <c r="L758" s="8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13"/>
      <c r="C759" s="13"/>
      <c r="D759" s="13"/>
      <c r="E759" s="9"/>
      <c r="F759" s="7"/>
      <c r="G759" s="8"/>
      <c r="H759" s="6"/>
      <c r="I759" s="6"/>
      <c r="J759" s="8"/>
      <c r="K759" s="8"/>
      <c r="L759" s="8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13"/>
      <c r="C760" s="13"/>
      <c r="D760" s="13"/>
      <c r="E760" s="9"/>
      <c r="F760" s="7"/>
      <c r="G760" s="8"/>
      <c r="H760" s="6"/>
      <c r="I760" s="6"/>
      <c r="J760" s="8"/>
      <c r="K760" s="8"/>
      <c r="L760" s="8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13"/>
      <c r="C761" s="13"/>
      <c r="D761" s="13"/>
      <c r="E761" s="9"/>
      <c r="F761" s="7"/>
      <c r="G761" s="8"/>
      <c r="H761" s="6"/>
      <c r="I761" s="6"/>
      <c r="J761" s="8"/>
      <c r="K761" s="8"/>
      <c r="L761" s="8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13"/>
      <c r="C762" s="13"/>
      <c r="D762" s="13"/>
      <c r="E762" s="9"/>
      <c r="F762" s="7"/>
      <c r="G762" s="8"/>
      <c r="H762" s="6"/>
      <c r="I762" s="6"/>
      <c r="J762" s="8"/>
      <c r="K762" s="8"/>
      <c r="L762" s="8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13"/>
      <c r="C763" s="13"/>
      <c r="D763" s="13"/>
      <c r="E763" s="9"/>
      <c r="F763" s="7"/>
      <c r="G763" s="8"/>
      <c r="H763" s="6"/>
      <c r="I763" s="6"/>
      <c r="J763" s="8"/>
      <c r="K763" s="8"/>
      <c r="L763" s="8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13"/>
      <c r="C764" s="13"/>
      <c r="D764" s="13"/>
      <c r="E764" s="9"/>
      <c r="F764" s="7"/>
      <c r="G764" s="8"/>
      <c r="H764" s="6"/>
      <c r="I764" s="6"/>
      <c r="J764" s="8"/>
      <c r="K764" s="8"/>
      <c r="L764" s="8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13"/>
      <c r="C765" s="13"/>
      <c r="D765" s="13"/>
      <c r="E765" s="9"/>
      <c r="F765" s="7"/>
      <c r="G765" s="8"/>
      <c r="H765" s="6"/>
      <c r="I765" s="6"/>
      <c r="J765" s="8"/>
      <c r="K765" s="8"/>
      <c r="L765" s="8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13"/>
      <c r="C766" s="13"/>
      <c r="D766" s="13"/>
      <c r="E766" s="9"/>
      <c r="F766" s="7"/>
      <c r="G766" s="8"/>
      <c r="H766" s="6"/>
      <c r="I766" s="6"/>
      <c r="J766" s="8"/>
      <c r="K766" s="8"/>
      <c r="L766" s="8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13"/>
      <c r="C767" s="13"/>
      <c r="D767" s="13"/>
      <c r="E767" s="9"/>
      <c r="F767" s="7"/>
      <c r="G767" s="8"/>
      <c r="H767" s="6"/>
      <c r="I767" s="6"/>
      <c r="J767" s="8"/>
      <c r="K767" s="8"/>
      <c r="L767" s="8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13"/>
      <c r="C768" s="13"/>
      <c r="D768" s="13"/>
      <c r="E768" s="9"/>
      <c r="F768" s="7"/>
      <c r="G768" s="8"/>
      <c r="H768" s="6"/>
      <c r="I768" s="6"/>
      <c r="J768" s="8"/>
      <c r="K768" s="8"/>
      <c r="L768" s="8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13"/>
      <c r="C769" s="13"/>
      <c r="D769" s="13"/>
      <c r="E769" s="9"/>
      <c r="F769" s="7"/>
      <c r="G769" s="8"/>
      <c r="H769" s="6"/>
      <c r="I769" s="6"/>
      <c r="J769" s="8"/>
      <c r="K769" s="8"/>
      <c r="L769" s="8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13"/>
      <c r="C770" s="13"/>
      <c r="D770" s="13"/>
      <c r="E770" s="9"/>
      <c r="F770" s="7"/>
      <c r="G770" s="8"/>
      <c r="H770" s="6"/>
      <c r="I770" s="6"/>
      <c r="J770" s="8"/>
      <c r="K770" s="8"/>
      <c r="L770" s="8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13"/>
      <c r="C771" s="13"/>
      <c r="D771" s="13"/>
      <c r="E771" s="9"/>
      <c r="F771" s="7"/>
      <c r="G771" s="8"/>
      <c r="H771" s="6"/>
      <c r="I771" s="6"/>
      <c r="J771" s="8"/>
      <c r="K771" s="8"/>
      <c r="L771" s="8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13"/>
      <c r="C772" s="13"/>
      <c r="D772" s="13"/>
      <c r="E772" s="9"/>
      <c r="F772" s="7"/>
      <c r="G772" s="8"/>
      <c r="H772" s="6"/>
      <c r="I772" s="6"/>
      <c r="J772" s="8"/>
      <c r="K772" s="8"/>
      <c r="L772" s="8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13"/>
      <c r="C773" s="13"/>
      <c r="D773" s="13"/>
      <c r="E773" s="9"/>
      <c r="F773" s="7"/>
      <c r="G773" s="8"/>
      <c r="H773" s="6"/>
      <c r="I773" s="6"/>
      <c r="J773" s="8"/>
      <c r="K773" s="8"/>
      <c r="L773" s="8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13"/>
      <c r="C774" s="13"/>
      <c r="D774" s="13"/>
      <c r="E774" s="9"/>
      <c r="F774" s="7"/>
      <c r="G774" s="8"/>
      <c r="H774" s="6"/>
      <c r="I774" s="6"/>
      <c r="J774" s="8"/>
      <c r="K774" s="8"/>
      <c r="L774" s="8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13"/>
      <c r="C775" s="13"/>
      <c r="D775" s="13"/>
      <c r="E775" s="9"/>
      <c r="F775" s="7"/>
      <c r="G775" s="8"/>
      <c r="H775" s="6"/>
      <c r="I775" s="6"/>
      <c r="J775" s="8"/>
      <c r="K775" s="8"/>
      <c r="L775" s="8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13"/>
      <c r="C776" s="13"/>
      <c r="D776" s="13"/>
      <c r="E776" s="9"/>
      <c r="F776" s="7"/>
      <c r="G776" s="8"/>
      <c r="H776" s="6"/>
      <c r="I776" s="6"/>
      <c r="J776" s="8"/>
      <c r="K776" s="8"/>
      <c r="L776" s="8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13"/>
      <c r="C777" s="13"/>
      <c r="D777" s="13"/>
      <c r="E777" s="9"/>
      <c r="F777" s="7"/>
      <c r="G777" s="8"/>
      <c r="H777" s="6"/>
      <c r="I777" s="6"/>
      <c r="J777" s="8"/>
      <c r="K777" s="8"/>
      <c r="L777" s="8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13"/>
      <c r="C778" s="13"/>
      <c r="D778" s="13"/>
      <c r="E778" s="9"/>
      <c r="F778" s="7"/>
      <c r="G778" s="8"/>
      <c r="H778" s="6"/>
      <c r="I778" s="6"/>
      <c r="J778" s="8"/>
      <c r="K778" s="8"/>
      <c r="L778" s="8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13"/>
      <c r="C779" s="13"/>
      <c r="D779" s="13"/>
      <c r="E779" s="9"/>
      <c r="F779" s="7"/>
      <c r="G779" s="8"/>
      <c r="H779" s="6"/>
      <c r="I779" s="6"/>
      <c r="J779" s="8"/>
      <c r="K779" s="8"/>
      <c r="L779" s="8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13"/>
      <c r="C780" s="13"/>
      <c r="D780" s="13"/>
      <c r="E780" s="9"/>
      <c r="F780" s="7"/>
      <c r="G780" s="8"/>
      <c r="H780" s="6"/>
      <c r="I780" s="6"/>
      <c r="J780" s="8"/>
      <c r="K780" s="8"/>
      <c r="L780" s="8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13"/>
      <c r="C781" s="13"/>
      <c r="D781" s="13"/>
      <c r="E781" s="9"/>
      <c r="F781" s="7"/>
      <c r="G781" s="8"/>
      <c r="H781" s="6"/>
      <c r="I781" s="6"/>
      <c r="J781" s="8"/>
      <c r="K781" s="8"/>
      <c r="L781" s="8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13"/>
      <c r="C782" s="13"/>
      <c r="D782" s="13"/>
      <c r="E782" s="9"/>
      <c r="F782" s="7"/>
      <c r="G782" s="8"/>
      <c r="H782" s="6"/>
      <c r="I782" s="6"/>
      <c r="J782" s="8"/>
      <c r="K782" s="8"/>
      <c r="L782" s="8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13"/>
      <c r="C783" s="13"/>
      <c r="D783" s="13"/>
      <c r="E783" s="9"/>
      <c r="F783" s="7"/>
      <c r="G783" s="8"/>
      <c r="H783" s="6"/>
      <c r="I783" s="6"/>
      <c r="J783" s="8"/>
      <c r="K783" s="8"/>
      <c r="L783" s="8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13"/>
      <c r="C784" s="13"/>
      <c r="D784" s="13"/>
      <c r="E784" s="9"/>
      <c r="F784" s="7"/>
      <c r="G784" s="8"/>
      <c r="H784" s="6"/>
      <c r="I784" s="6"/>
      <c r="J784" s="8"/>
      <c r="K784" s="8"/>
      <c r="L784" s="8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13"/>
      <c r="C785" s="13"/>
      <c r="D785" s="13"/>
      <c r="E785" s="9"/>
      <c r="F785" s="7"/>
      <c r="G785" s="8"/>
      <c r="H785" s="6"/>
      <c r="I785" s="6"/>
      <c r="J785" s="8"/>
      <c r="K785" s="8"/>
      <c r="L785" s="8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13"/>
      <c r="C786" s="13"/>
      <c r="D786" s="13"/>
      <c r="E786" s="9"/>
      <c r="F786" s="7"/>
      <c r="G786" s="8"/>
      <c r="H786" s="6"/>
      <c r="I786" s="6"/>
      <c r="J786" s="8"/>
      <c r="K786" s="8"/>
      <c r="L786" s="8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13"/>
      <c r="C787" s="13"/>
      <c r="D787" s="13"/>
      <c r="E787" s="9"/>
      <c r="F787" s="7"/>
      <c r="G787" s="8"/>
      <c r="H787" s="6"/>
      <c r="I787" s="6"/>
      <c r="J787" s="8"/>
      <c r="K787" s="8"/>
      <c r="L787" s="8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13"/>
      <c r="C788" s="13"/>
      <c r="D788" s="13"/>
      <c r="E788" s="9"/>
      <c r="F788" s="7"/>
      <c r="G788" s="8"/>
      <c r="H788" s="6"/>
      <c r="I788" s="6"/>
      <c r="J788" s="8"/>
      <c r="K788" s="8"/>
      <c r="L788" s="8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13"/>
      <c r="C789" s="13"/>
      <c r="D789" s="13"/>
      <c r="E789" s="9"/>
      <c r="F789" s="7"/>
      <c r="G789" s="8"/>
      <c r="H789" s="6"/>
      <c r="I789" s="6"/>
      <c r="J789" s="8"/>
      <c r="K789" s="8"/>
      <c r="L789" s="8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13"/>
      <c r="C790" s="13"/>
      <c r="D790" s="13"/>
      <c r="E790" s="9"/>
      <c r="F790" s="7"/>
      <c r="G790" s="8"/>
      <c r="H790" s="6"/>
      <c r="I790" s="6"/>
      <c r="J790" s="8"/>
      <c r="K790" s="8"/>
      <c r="L790" s="8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13"/>
      <c r="C791" s="13"/>
      <c r="D791" s="13"/>
      <c r="E791" s="9"/>
      <c r="F791" s="7"/>
      <c r="G791" s="8"/>
      <c r="H791" s="6"/>
      <c r="I791" s="6"/>
      <c r="J791" s="8"/>
      <c r="K791" s="8"/>
      <c r="L791" s="8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13"/>
      <c r="C792" s="13"/>
      <c r="D792" s="13"/>
      <c r="E792" s="9"/>
      <c r="F792" s="7"/>
      <c r="G792" s="8"/>
      <c r="H792" s="6"/>
      <c r="I792" s="6"/>
      <c r="J792" s="8"/>
      <c r="K792" s="8"/>
      <c r="L792" s="8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13"/>
      <c r="C793" s="13"/>
      <c r="D793" s="13"/>
      <c r="E793" s="9"/>
      <c r="F793" s="7"/>
      <c r="G793" s="8"/>
      <c r="H793" s="6"/>
      <c r="I793" s="6"/>
      <c r="J793" s="8"/>
      <c r="K793" s="8"/>
      <c r="L793" s="8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13"/>
      <c r="C794" s="13"/>
      <c r="D794" s="13"/>
      <c r="E794" s="9"/>
      <c r="F794" s="7"/>
      <c r="G794" s="8"/>
      <c r="H794" s="6"/>
      <c r="I794" s="6"/>
      <c r="J794" s="8"/>
      <c r="K794" s="8"/>
      <c r="L794" s="8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13"/>
      <c r="C795" s="13"/>
      <c r="D795" s="13"/>
      <c r="E795" s="9"/>
      <c r="F795" s="7"/>
      <c r="G795" s="8"/>
      <c r="H795" s="6"/>
      <c r="I795" s="6"/>
      <c r="J795" s="8"/>
      <c r="K795" s="8"/>
      <c r="L795" s="8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13"/>
      <c r="C796" s="13"/>
      <c r="D796" s="13"/>
      <c r="E796" s="9"/>
      <c r="F796" s="7"/>
      <c r="G796" s="8"/>
      <c r="H796" s="6"/>
      <c r="I796" s="6"/>
      <c r="J796" s="8"/>
      <c r="K796" s="8"/>
      <c r="L796" s="8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13"/>
      <c r="C797" s="13"/>
      <c r="D797" s="13"/>
      <c r="E797" s="9"/>
      <c r="F797" s="7"/>
      <c r="G797" s="8"/>
      <c r="H797" s="6"/>
      <c r="I797" s="6"/>
      <c r="J797" s="8"/>
      <c r="K797" s="8"/>
      <c r="L797" s="8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13"/>
      <c r="C798" s="13"/>
      <c r="D798" s="13"/>
      <c r="E798" s="9"/>
      <c r="F798" s="7"/>
      <c r="G798" s="8"/>
      <c r="H798" s="6"/>
      <c r="I798" s="6"/>
      <c r="J798" s="8"/>
      <c r="K798" s="8"/>
      <c r="L798" s="8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13"/>
      <c r="C799" s="13"/>
      <c r="D799" s="13"/>
      <c r="E799" s="9"/>
      <c r="F799" s="7"/>
      <c r="G799" s="8"/>
      <c r="H799" s="6"/>
      <c r="I799" s="6"/>
      <c r="J799" s="8"/>
      <c r="K799" s="8"/>
      <c r="L799" s="8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13"/>
      <c r="C800" s="13"/>
      <c r="D800" s="13"/>
      <c r="E800" s="9"/>
      <c r="F800" s="7"/>
      <c r="G800" s="8"/>
      <c r="H800" s="6"/>
      <c r="I800" s="6"/>
      <c r="J800" s="8"/>
      <c r="K800" s="8"/>
      <c r="L800" s="8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13"/>
      <c r="C801" s="13"/>
      <c r="D801" s="13"/>
      <c r="E801" s="9"/>
      <c r="F801" s="7"/>
      <c r="G801" s="8"/>
      <c r="H801" s="6"/>
      <c r="I801" s="6"/>
      <c r="J801" s="8"/>
      <c r="K801" s="8"/>
      <c r="L801" s="8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13"/>
      <c r="C802" s="13"/>
      <c r="D802" s="13"/>
      <c r="E802" s="9"/>
      <c r="F802" s="7"/>
      <c r="G802" s="8"/>
      <c r="H802" s="6"/>
      <c r="I802" s="6"/>
      <c r="J802" s="8"/>
      <c r="K802" s="8"/>
      <c r="L802" s="8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13"/>
      <c r="C803" s="13"/>
      <c r="D803" s="13"/>
      <c r="E803" s="9"/>
      <c r="F803" s="7"/>
      <c r="G803" s="8"/>
      <c r="H803" s="6"/>
      <c r="I803" s="6"/>
      <c r="J803" s="8"/>
      <c r="K803" s="8"/>
      <c r="L803" s="8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13"/>
      <c r="C804" s="13"/>
      <c r="D804" s="13"/>
      <c r="E804" s="9"/>
      <c r="F804" s="7"/>
      <c r="G804" s="8"/>
      <c r="H804" s="6"/>
      <c r="I804" s="6"/>
      <c r="J804" s="8"/>
      <c r="K804" s="8"/>
      <c r="L804" s="8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13"/>
      <c r="C805" s="13"/>
      <c r="D805" s="13"/>
      <c r="E805" s="9"/>
      <c r="F805" s="7"/>
      <c r="G805" s="8"/>
      <c r="H805" s="6"/>
      <c r="I805" s="6"/>
      <c r="J805" s="8"/>
      <c r="K805" s="8"/>
      <c r="L805" s="8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13"/>
      <c r="C806" s="13"/>
      <c r="D806" s="13"/>
      <c r="E806" s="9"/>
      <c r="F806" s="7"/>
      <c r="G806" s="8"/>
      <c r="H806" s="6"/>
      <c r="I806" s="6"/>
      <c r="J806" s="8"/>
      <c r="K806" s="8"/>
      <c r="L806" s="8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13"/>
      <c r="C807" s="13"/>
      <c r="D807" s="13"/>
      <c r="E807" s="9"/>
      <c r="F807" s="7"/>
      <c r="G807" s="8"/>
      <c r="H807" s="6"/>
      <c r="I807" s="6"/>
      <c r="J807" s="8"/>
      <c r="K807" s="8"/>
      <c r="L807" s="8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13"/>
      <c r="C808" s="13"/>
      <c r="D808" s="13"/>
      <c r="E808" s="9"/>
      <c r="F808" s="7"/>
      <c r="G808" s="8"/>
      <c r="H808" s="6"/>
      <c r="I808" s="6"/>
      <c r="J808" s="8"/>
      <c r="K808" s="8"/>
      <c r="L808" s="8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13"/>
      <c r="C809" s="13"/>
      <c r="D809" s="13"/>
      <c r="E809" s="9"/>
      <c r="F809" s="7"/>
      <c r="G809" s="8"/>
      <c r="H809" s="6"/>
      <c r="I809" s="6"/>
      <c r="J809" s="8"/>
      <c r="K809" s="8"/>
      <c r="L809" s="8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13"/>
      <c r="C810" s="13"/>
      <c r="D810" s="13"/>
      <c r="E810" s="9"/>
      <c r="F810" s="7"/>
      <c r="G810" s="8"/>
      <c r="H810" s="6"/>
      <c r="I810" s="6"/>
      <c r="J810" s="8"/>
      <c r="K810" s="8"/>
      <c r="L810" s="8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13"/>
      <c r="C811" s="13"/>
      <c r="D811" s="13"/>
      <c r="E811" s="9"/>
      <c r="F811" s="7"/>
      <c r="G811" s="8"/>
      <c r="H811" s="6"/>
      <c r="I811" s="6"/>
      <c r="J811" s="8"/>
      <c r="K811" s="8"/>
      <c r="L811" s="8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13"/>
      <c r="C812" s="13"/>
      <c r="D812" s="13"/>
      <c r="E812" s="9"/>
      <c r="F812" s="7"/>
      <c r="G812" s="8"/>
      <c r="H812" s="6"/>
      <c r="I812" s="6"/>
      <c r="J812" s="8"/>
      <c r="K812" s="8"/>
      <c r="L812" s="8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13"/>
      <c r="C813" s="13"/>
      <c r="D813" s="13"/>
      <c r="E813" s="9"/>
      <c r="F813" s="7"/>
      <c r="G813" s="8"/>
      <c r="H813" s="6"/>
      <c r="I813" s="6"/>
      <c r="J813" s="8"/>
      <c r="K813" s="8"/>
      <c r="L813" s="8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13"/>
      <c r="C814" s="13"/>
      <c r="D814" s="13"/>
      <c r="E814" s="9"/>
      <c r="F814" s="7"/>
      <c r="G814" s="8"/>
      <c r="H814" s="6"/>
      <c r="I814" s="6"/>
      <c r="J814" s="8"/>
      <c r="K814" s="8"/>
      <c r="L814" s="8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13"/>
      <c r="C815" s="13"/>
      <c r="D815" s="13"/>
      <c r="E815" s="9"/>
      <c r="F815" s="7"/>
      <c r="G815" s="8"/>
      <c r="H815" s="6"/>
      <c r="I815" s="6"/>
      <c r="J815" s="8"/>
      <c r="K815" s="8"/>
      <c r="L815" s="8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13"/>
      <c r="C816" s="13"/>
      <c r="D816" s="13"/>
      <c r="E816" s="9"/>
      <c r="F816" s="7"/>
      <c r="G816" s="8"/>
      <c r="H816" s="6"/>
      <c r="I816" s="6"/>
      <c r="J816" s="8"/>
      <c r="K816" s="8"/>
      <c r="L816" s="8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13"/>
      <c r="C817" s="13"/>
      <c r="D817" s="13"/>
      <c r="E817" s="9"/>
      <c r="F817" s="7"/>
      <c r="G817" s="8"/>
      <c r="H817" s="6"/>
      <c r="I817" s="6"/>
      <c r="J817" s="8"/>
      <c r="K817" s="8"/>
      <c r="L817" s="8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13"/>
      <c r="C818" s="13"/>
      <c r="D818" s="13"/>
      <c r="E818" s="9"/>
      <c r="F818" s="7"/>
      <c r="G818" s="8"/>
      <c r="H818" s="6"/>
      <c r="I818" s="6"/>
      <c r="J818" s="8"/>
      <c r="K818" s="8"/>
      <c r="L818" s="8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13"/>
      <c r="C819" s="13"/>
      <c r="D819" s="13"/>
      <c r="E819" s="9"/>
      <c r="F819" s="7"/>
      <c r="G819" s="8"/>
      <c r="H819" s="6"/>
      <c r="I819" s="6"/>
      <c r="J819" s="8"/>
      <c r="K819" s="8"/>
      <c r="L819" s="8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13"/>
      <c r="C820" s="13"/>
      <c r="D820" s="13"/>
      <c r="E820" s="9"/>
      <c r="F820" s="7"/>
      <c r="G820" s="8"/>
      <c r="H820" s="6"/>
      <c r="I820" s="6"/>
      <c r="J820" s="8"/>
      <c r="K820" s="8"/>
      <c r="L820" s="8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13"/>
      <c r="C821" s="13"/>
      <c r="D821" s="13"/>
      <c r="E821" s="9"/>
      <c r="F821" s="7"/>
      <c r="G821" s="8"/>
      <c r="H821" s="6"/>
      <c r="I821" s="6"/>
      <c r="J821" s="8"/>
      <c r="K821" s="8"/>
      <c r="L821" s="8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13"/>
      <c r="C822" s="13"/>
      <c r="D822" s="13"/>
      <c r="E822" s="9"/>
      <c r="F822" s="7"/>
      <c r="G822" s="8"/>
      <c r="H822" s="6"/>
      <c r="I822" s="6"/>
      <c r="J822" s="8"/>
      <c r="K822" s="8"/>
      <c r="L822" s="8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13"/>
      <c r="C823" s="13"/>
      <c r="D823" s="13"/>
      <c r="E823" s="9"/>
      <c r="F823" s="7"/>
      <c r="G823" s="8"/>
      <c r="H823" s="6"/>
      <c r="I823" s="6"/>
      <c r="J823" s="8"/>
      <c r="K823" s="8"/>
      <c r="L823" s="8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13"/>
      <c r="C824" s="13"/>
      <c r="D824" s="13"/>
      <c r="E824" s="9"/>
      <c r="F824" s="7"/>
      <c r="G824" s="8"/>
      <c r="H824" s="6"/>
      <c r="I824" s="6"/>
      <c r="J824" s="8"/>
      <c r="K824" s="8"/>
      <c r="L824" s="8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13"/>
      <c r="C825" s="13"/>
      <c r="D825" s="13"/>
      <c r="E825" s="9"/>
      <c r="F825" s="7"/>
      <c r="G825" s="8"/>
      <c r="H825" s="6"/>
      <c r="I825" s="6"/>
      <c r="J825" s="8"/>
      <c r="K825" s="8"/>
      <c r="L825" s="8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13"/>
      <c r="C826" s="13"/>
      <c r="D826" s="13"/>
      <c r="E826" s="9"/>
      <c r="F826" s="7"/>
      <c r="G826" s="8"/>
      <c r="H826" s="6"/>
      <c r="I826" s="6"/>
      <c r="J826" s="8"/>
      <c r="K826" s="8"/>
      <c r="L826" s="8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13"/>
      <c r="C827" s="13"/>
      <c r="D827" s="13"/>
      <c r="E827" s="9"/>
      <c r="F827" s="7"/>
      <c r="G827" s="8"/>
      <c r="H827" s="6"/>
      <c r="I827" s="6"/>
      <c r="J827" s="8"/>
      <c r="K827" s="8"/>
      <c r="L827" s="8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13"/>
      <c r="C828" s="13"/>
      <c r="D828" s="13"/>
      <c r="E828" s="9"/>
      <c r="F828" s="7"/>
      <c r="G828" s="8"/>
      <c r="H828" s="6"/>
      <c r="I828" s="6"/>
      <c r="J828" s="8"/>
      <c r="K828" s="8"/>
      <c r="L828" s="8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13"/>
      <c r="C829" s="13"/>
      <c r="D829" s="13"/>
      <c r="E829" s="9"/>
      <c r="F829" s="7"/>
      <c r="G829" s="8"/>
      <c r="H829" s="6"/>
      <c r="I829" s="6"/>
      <c r="J829" s="8"/>
      <c r="K829" s="8"/>
      <c r="L829" s="8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13"/>
      <c r="C830" s="13"/>
      <c r="D830" s="13"/>
      <c r="E830" s="9"/>
      <c r="F830" s="7"/>
      <c r="G830" s="8"/>
      <c r="H830" s="6"/>
      <c r="I830" s="6"/>
      <c r="J830" s="8"/>
      <c r="K830" s="8"/>
      <c r="L830" s="8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13"/>
      <c r="C831" s="13"/>
      <c r="D831" s="13"/>
      <c r="E831" s="9"/>
      <c r="F831" s="7"/>
      <c r="G831" s="8"/>
      <c r="H831" s="6"/>
      <c r="I831" s="6"/>
      <c r="J831" s="8"/>
      <c r="K831" s="8"/>
      <c r="L831" s="8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13"/>
      <c r="C832" s="13"/>
      <c r="D832" s="13"/>
      <c r="E832" s="9"/>
      <c r="F832" s="7"/>
      <c r="G832" s="8"/>
      <c r="H832" s="6"/>
      <c r="I832" s="6"/>
      <c r="J832" s="8"/>
      <c r="K832" s="8"/>
      <c r="L832" s="8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13"/>
      <c r="C833" s="13"/>
      <c r="D833" s="13"/>
      <c r="E833" s="9"/>
      <c r="F833" s="7"/>
      <c r="G833" s="8"/>
      <c r="H833" s="6"/>
      <c r="I833" s="6"/>
      <c r="J833" s="8"/>
      <c r="K833" s="8"/>
      <c r="L833" s="8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13"/>
      <c r="C834" s="13"/>
      <c r="D834" s="13"/>
      <c r="E834" s="9"/>
      <c r="F834" s="7"/>
      <c r="G834" s="8"/>
      <c r="H834" s="6"/>
      <c r="I834" s="6"/>
      <c r="J834" s="8"/>
      <c r="K834" s="8"/>
      <c r="L834" s="8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13"/>
      <c r="C835" s="13"/>
      <c r="D835" s="13"/>
      <c r="E835" s="9"/>
      <c r="F835" s="7"/>
      <c r="G835" s="8"/>
      <c r="H835" s="6"/>
      <c r="I835" s="6"/>
      <c r="J835" s="8"/>
      <c r="K835" s="8"/>
      <c r="L835" s="8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13"/>
      <c r="C836" s="13"/>
      <c r="D836" s="13"/>
      <c r="E836" s="9"/>
      <c r="F836" s="7"/>
      <c r="G836" s="8"/>
      <c r="H836" s="6"/>
      <c r="I836" s="6"/>
      <c r="J836" s="8"/>
      <c r="K836" s="8"/>
      <c r="L836" s="8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13"/>
      <c r="C837" s="13"/>
      <c r="D837" s="13"/>
      <c r="E837" s="9"/>
      <c r="F837" s="7"/>
      <c r="G837" s="8"/>
      <c r="H837" s="6"/>
      <c r="I837" s="6"/>
      <c r="J837" s="8"/>
      <c r="K837" s="8"/>
      <c r="L837" s="8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13"/>
      <c r="C838" s="13"/>
      <c r="D838" s="13"/>
      <c r="E838" s="9"/>
      <c r="F838" s="7"/>
      <c r="G838" s="8"/>
      <c r="H838" s="6"/>
      <c r="I838" s="6"/>
      <c r="J838" s="8"/>
      <c r="K838" s="8"/>
      <c r="L838" s="8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13"/>
      <c r="C839" s="13"/>
      <c r="D839" s="13"/>
      <c r="E839" s="9"/>
      <c r="F839" s="7"/>
      <c r="G839" s="8"/>
      <c r="H839" s="6"/>
      <c r="I839" s="6"/>
      <c r="J839" s="8"/>
      <c r="K839" s="8"/>
      <c r="L839" s="8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13"/>
      <c r="C840" s="13"/>
      <c r="D840" s="13"/>
      <c r="E840" s="9"/>
      <c r="F840" s="7"/>
      <c r="G840" s="8"/>
      <c r="H840" s="6"/>
      <c r="I840" s="6"/>
      <c r="J840" s="8"/>
      <c r="K840" s="8"/>
      <c r="L840" s="8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13"/>
      <c r="C841" s="13"/>
      <c r="D841" s="13"/>
      <c r="E841" s="9"/>
      <c r="F841" s="7"/>
      <c r="G841" s="8"/>
      <c r="H841" s="6"/>
      <c r="I841" s="6"/>
      <c r="J841" s="8"/>
      <c r="K841" s="8"/>
      <c r="L841" s="8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13"/>
      <c r="C842" s="13"/>
      <c r="D842" s="13"/>
      <c r="E842" s="9"/>
      <c r="F842" s="7"/>
      <c r="G842" s="8"/>
      <c r="H842" s="6"/>
      <c r="I842" s="6"/>
      <c r="J842" s="8"/>
      <c r="K842" s="8"/>
      <c r="L842" s="8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13"/>
      <c r="C843" s="13"/>
      <c r="D843" s="13"/>
      <c r="E843" s="9"/>
      <c r="F843" s="7"/>
      <c r="G843" s="8"/>
      <c r="H843" s="6"/>
      <c r="I843" s="6"/>
      <c r="J843" s="8"/>
      <c r="K843" s="8"/>
      <c r="L843" s="8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13"/>
      <c r="C844" s="13"/>
      <c r="D844" s="13"/>
      <c r="E844" s="9"/>
      <c r="F844" s="7"/>
      <c r="G844" s="8"/>
      <c r="H844" s="6"/>
      <c r="I844" s="6"/>
      <c r="J844" s="8"/>
      <c r="K844" s="8"/>
      <c r="L844" s="8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13"/>
      <c r="C845" s="13"/>
      <c r="D845" s="13"/>
      <c r="E845" s="9"/>
      <c r="F845" s="7"/>
      <c r="G845" s="8"/>
      <c r="H845" s="6"/>
      <c r="I845" s="6"/>
      <c r="J845" s="8"/>
      <c r="K845" s="8"/>
      <c r="L845" s="8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13"/>
      <c r="C846" s="13"/>
      <c r="D846" s="13"/>
      <c r="E846" s="9"/>
      <c r="F846" s="7"/>
      <c r="G846" s="8"/>
      <c r="H846" s="6"/>
      <c r="I846" s="6"/>
      <c r="J846" s="8"/>
      <c r="K846" s="8"/>
      <c r="L846" s="8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13"/>
      <c r="C847" s="13"/>
      <c r="D847" s="13"/>
      <c r="E847" s="9"/>
      <c r="F847" s="7"/>
      <c r="G847" s="8"/>
      <c r="H847" s="6"/>
      <c r="I847" s="6"/>
      <c r="J847" s="8"/>
      <c r="K847" s="8"/>
      <c r="L847" s="8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13"/>
      <c r="C848" s="13"/>
      <c r="D848" s="13"/>
      <c r="E848" s="9"/>
      <c r="F848" s="7"/>
      <c r="G848" s="8"/>
      <c r="H848" s="6"/>
      <c r="I848" s="6"/>
      <c r="J848" s="8"/>
      <c r="K848" s="8"/>
      <c r="L848" s="8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13"/>
      <c r="C849" s="13"/>
      <c r="D849" s="13"/>
      <c r="E849" s="9"/>
      <c r="F849" s="7"/>
      <c r="G849" s="8"/>
      <c r="H849" s="6"/>
      <c r="I849" s="6"/>
      <c r="J849" s="8"/>
      <c r="K849" s="8"/>
      <c r="L849" s="8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13"/>
      <c r="C850" s="13"/>
      <c r="D850" s="13"/>
      <c r="E850" s="9"/>
      <c r="F850" s="7"/>
      <c r="G850" s="8"/>
      <c r="H850" s="6"/>
      <c r="I850" s="6"/>
      <c r="J850" s="8"/>
      <c r="K850" s="8"/>
      <c r="L850" s="8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13"/>
      <c r="C851" s="13"/>
      <c r="D851" s="13"/>
      <c r="E851" s="9"/>
      <c r="F851" s="7"/>
      <c r="G851" s="8"/>
      <c r="H851" s="6"/>
      <c r="I851" s="6"/>
      <c r="J851" s="8"/>
      <c r="K851" s="8"/>
      <c r="L851" s="8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13"/>
      <c r="C852" s="13"/>
      <c r="D852" s="13"/>
      <c r="E852" s="9"/>
      <c r="F852" s="7"/>
      <c r="G852" s="8"/>
      <c r="H852" s="6"/>
      <c r="I852" s="6"/>
      <c r="J852" s="8"/>
      <c r="K852" s="8"/>
      <c r="L852" s="8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13"/>
      <c r="C853" s="13"/>
      <c r="D853" s="13"/>
      <c r="E853" s="9"/>
      <c r="F853" s="7"/>
      <c r="G853" s="8"/>
      <c r="H853" s="6"/>
      <c r="I853" s="6"/>
      <c r="J853" s="8"/>
      <c r="K853" s="8"/>
      <c r="L853" s="8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13"/>
      <c r="C854" s="13"/>
      <c r="D854" s="13"/>
      <c r="E854" s="9"/>
      <c r="F854" s="7"/>
      <c r="G854" s="8"/>
      <c r="H854" s="6"/>
      <c r="I854" s="6"/>
      <c r="J854" s="8"/>
      <c r="K854" s="8"/>
      <c r="L854" s="8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13"/>
      <c r="C855" s="13"/>
      <c r="D855" s="13"/>
      <c r="E855" s="9"/>
      <c r="F855" s="7"/>
      <c r="G855" s="8"/>
      <c r="H855" s="6"/>
      <c r="I855" s="6"/>
      <c r="J855" s="8"/>
      <c r="K855" s="8"/>
      <c r="L855" s="8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13"/>
      <c r="C856" s="13"/>
      <c r="D856" s="13"/>
      <c r="E856" s="9"/>
      <c r="F856" s="7"/>
      <c r="G856" s="8"/>
      <c r="H856" s="6"/>
      <c r="I856" s="6"/>
      <c r="J856" s="8"/>
      <c r="K856" s="8"/>
      <c r="L856" s="8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13"/>
      <c r="C857" s="13"/>
      <c r="D857" s="13"/>
      <c r="E857" s="9"/>
      <c r="F857" s="7"/>
      <c r="G857" s="8"/>
      <c r="H857" s="6"/>
      <c r="I857" s="6"/>
      <c r="J857" s="8"/>
      <c r="K857" s="8"/>
      <c r="L857" s="8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13"/>
      <c r="C858" s="13"/>
      <c r="D858" s="13"/>
      <c r="E858" s="9"/>
      <c r="F858" s="7"/>
      <c r="G858" s="8"/>
      <c r="H858" s="6"/>
      <c r="I858" s="6"/>
      <c r="J858" s="8"/>
      <c r="K858" s="8"/>
      <c r="L858" s="8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13"/>
      <c r="C859" s="13"/>
      <c r="D859" s="13"/>
      <c r="E859" s="9"/>
      <c r="F859" s="7"/>
      <c r="G859" s="8"/>
      <c r="H859" s="6"/>
      <c r="I859" s="6"/>
      <c r="J859" s="8"/>
      <c r="K859" s="8"/>
      <c r="L859" s="8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13"/>
      <c r="C860" s="13"/>
      <c r="D860" s="13"/>
      <c r="E860" s="9"/>
      <c r="F860" s="7"/>
      <c r="G860" s="8"/>
      <c r="H860" s="6"/>
      <c r="I860" s="6"/>
      <c r="J860" s="8"/>
      <c r="K860" s="8"/>
      <c r="L860" s="8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13"/>
      <c r="C861" s="13"/>
      <c r="D861" s="13"/>
      <c r="E861" s="9"/>
      <c r="F861" s="7"/>
      <c r="G861" s="8"/>
      <c r="H861" s="6"/>
      <c r="I861" s="6"/>
      <c r="J861" s="8"/>
      <c r="K861" s="8"/>
      <c r="L861" s="8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13"/>
      <c r="C862" s="13"/>
      <c r="D862" s="13"/>
      <c r="E862" s="9"/>
      <c r="F862" s="7"/>
      <c r="G862" s="8"/>
      <c r="H862" s="6"/>
      <c r="I862" s="6"/>
      <c r="J862" s="8"/>
      <c r="K862" s="8"/>
      <c r="L862" s="8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13"/>
      <c r="C863" s="13"/>
      <c r="D863" s="13"/>
      <c r="E863" s="9"/>
      <c r="F863" s="7"/>
      <c r="G863" s="8"/>
      <c r="H863" s="6"/>
      <c r="I863" s="6"/>
      <c r="J863" s="8"/>
      <c r="K863" s="8"/>
      <c r="L863" s="8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13"/>
      <c r="C864" s="13"/>
      <c r="D864" s="13"/>
      <c r="E864" s="9"/>
      <c r="F864" s="7"/>
      <c r="G864" s="8"/>
      <c r="H864" s="6"/>
      <c r="I864" s="6"/>
      <c r="J864" s="8"/>
      <c r="K864" s="8"/>
      <c r="L864" s="8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13"/>
      <c r="C865" s="13"/>
      <c r="D865" s="13"/>
      <c r="E865" s="9"/>
      <c r="F865" s="7"/>
      <c r="G865" s="8"/>
      <c r="H865" s="6"/>
      <c r="I865" s="6"/>
      <c r="J865" s="8"/>
      <c r="K865" s="8"/>
      <c r="L865" s="8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13"/>
      <c r="C866" s="13"/>
      <c r="D866" s="13"/>
      <c r="E866" s="9"/>
      <c r="F866" s="7"/>
      <c r="G866" s="8"/>
      <c r="H866" s="6"/>
      <c r="I866" s="6"/>
      <c r="J866" s="8"/>
      <c r="K866" s="8"/>
      <c r="L866" s="8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13"/>
      <c r="C867" s="13"/>
      <c r="D867" s="13"/>
      <c r="E867" s="9"/>
      <c r="F867" s="7"/>
      <c r="G867" s="8"/>
      <c r="H867" s="6"/>
      <c r="I867" s="6"/>
      <c r="J867" s="8"/>
      <c r="K867" s="8"/>
      <c r="L867" s="8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13"/>
      <c r="C868" s="13"/>
      <c r="D868" s="13"/>
      <c r="E868" s="9"/>
      <c r="F868" s="7"/>
      <c r="G868" s="8"/>
      <c r="H868" s="6"/>
      <c r="I868" s="6"/>
      <c r="J868" s="8"/>
      <c r="K868" s="8"/>
      <c r="L868" s="8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13"/>
      <c r="C869" s="13"/>
      <c r="D869" s="13"/>
      <c r="E869" s="9"/>
      <c r="F869" s="7"/>
      <c r="G869" s="8"/>
      <c r="H869" s="6"/>
      <c r="I869" s="6"/>
      <c r="J869" s="8"/>
      <c r="K869" s="8"/>
      <c r="L869" s="8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13"/>
      <c r="C870" s="13"/>
      <c r="D870" s="13"/>
      <c r="E870" s="9"/>
      <c r="F870" s="7"/>
      <c r="G870" s="8"/>
      <c r="H870" s="6"/>
      <c r="I870" s="6"/>
      <c r="J870" s="8"/>
      <c r="K870" s="8"/>
      <c r="L870" s="8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13"/>
      <c r="C871" s="13"/>
      <c r="D871" s="13"/>
      <c r="E871" s="9"/>
      <c r="F871" s="7"/>
      <c r="G871" s="8"/>
      <c r="H871" s="6"/>
      <c r="I871" s="6"/>
      <c r="J871" s="8"/>
      <c r="K871" s="8"/>
      <c r="L871" s="8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13"/>
      <c r="C872" s="13"/>
      <c r="D872" s="13"/>
      <c r="E872" s="9"/>
      <c r="F872" s="7"/>
      <c r="G872" s="8"/>
      <c r="H872" s="6"/>
      <c r="I872" s="6"/>
      <c r="J872" s="8"/>
      <c r="K872" s="8"/>
      <c r="L872" s="8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13"/>
      <c r="C873" s="13"/>
      <c r="D873" s="13"/>
      <c r="E873" s="9"/>
      <c r="F873" s="7"/>
      <c r="G873" s="8"/>
      <c r="H873" s="6"/>
      <c r="I873" s="6"/>
      <c r="J873" s="8"/>
      <c r="K873" s="8"/>
      <c r="L873" s="8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13"/>
      <c r="C874" s="13"/>
      <c r="D874" s="13"/>
      <c r="E874" s="9"/>
      <c r="F874" s="7"/>
      <c r="G874" s="8"/>
      <c r="H874" s="6"/>
      <c r="I874" s="6"/>
      <c r="J874" s="8"/>
      <c r="K874" s="8"/>
      <c r="L874" s="8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13"/>
      <c r="C875" s="13"/>
      <c r="D875" s="13"/>
      <c r="E875" s="9"/>
      <c r="F875" s="7"/>
      <c r="G875" s="8"/>
      <c r="H875" s="6"/>
      <c r="I875" s="6"/>
      <c r="J875" s="8"/>
      <c r="K875" s="8"/>
      <c r="L875" s="8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13"/>
      <c r="C876" s="13"/>
      <c r="D876" s="13"/>
      <c r="E876" s="9"/>
      <c r="F876" s="7"/>
      <c r="G876" s="8"/>
      <c r="H876" s="6"/>
      <c r="I876" s="6"/>
      <c r="J876" s="8"/>
      <c r="K876" s="8"/>
      <c r="L876" s="8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13"/>
      <c r="C877" s="13"/>
      <c r="D877" s="13"/>
      <c r="E877" s="9"/>
      <c r="F877" s="7"/>
      <c r="G877" s="8"/>
      <c r="H877" s="6"/>
      <c r="I877" s="6"/>
      <c r="J877" s="8"/>
      <c r="K877" s="8"/>
      <c r="L877" s="8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13"/>
      <c r="C878" s="13"/>
      <c r="D878" s="13"/>
      <c r="E878" s="9"/>
      <c r="F878" s="7"/>
      <c r="G878" s="8"/>
      <c r="H878" s="6"/>
      <c r="I878" s="6"/>
      <c r="J878" s="8"/>
      <c r="K878" s="8"/>
      <c r="L878" s="8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13"/>
      <c r="C879" s="13"/>
      <c r="D879" s="13"/>
      <c r="E879" s="9"/>
      <c r="F879" s="7"/>
      <c r="G879" s="8"/>
      <c r="H879" s="6"/>
      <c r="I879" s="6"/>
      <c r="J879" s="8"/>
      <c r="K879" s="8"/>
      <c r="L879" s="8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13"/>
      <c r="C880" s="13"/>
      <c r="D880" s="13"/>
      <c r="E880" s="9"/>
      <c r="F880" s="7"/>
      <c r="G880" s="8"/>
      <c r="H880" s="6"/>
      <c r="I880" s="6"/>
      <c r="J880" s="8"/>
      <c r="K880" s="8"/>
      <c r="L880" s="8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13"/>
      <c r="C881" s="13"/>
      <c r="D881" s="13"/>
      <c r="E881" s="9"/>
      <c r="F881" s="7"/>
      <c r="G881" s="8"/>
      <c r="H881" s="6"/>
      <c r="I881" s="6"/>
      <c r="J881" s="8"/>
      <c r="K881" s="8"/>
      <c r="L881" s="8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13"/>
      <c r="C882" s="13"/>
      <c r="D882" s="13"/>
      <c r="E882" s="9"/>
      <c r="F882" s="7"/>
      <c r="G882" s="8"/>
      <c r="H882" s="6"/>
      <c r="I882" s="6"/>
      <c r="J882" s="8"/>
      <c r="K882" s="8"/>
      <c r="L882" s="8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13"/>
      <c r="C883" s="13"/>
      <c r="D883" s="13"/>
      <c r="E883" s="9"/>
      <c r="F883" s="7"/>
      <c r="G883" s="8"/>
      <c r="H883" s="6"/>
      <c r="I883" s="6"/>
      <c r="J883" s="8"/>
      <c r="K883" s="8"/>
      <c r="L883" s="8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13"/>
      <c r="C884" s="13"/>
      <c r="D884" s="13"/>
      <c r="E884" s="9"/>
      <c r="F884" s="7"/>
      <c r="G884" s="8"/>
      <c r="H884" s="6"/>
      <c r="I884" s="6"/>
      <c r="J884" s="8"/>
      <c r="K884" s="8"/>
      <c r="L884" s="8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13"/>
      <c r="C885" s="13"/>
      <c r="D885" s="13"/>
      <c r="E885" s="9"/>
      <c r="F885" s="7"/>
      <c r="G885" s="8"/>
      <c r="H885" s="6"/>
      <c r="I885" s="6"/>
      <c r="J885" s="8"/>
      <c r="K885" s="8"/>
      <c r="L885" s="8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13"/>
      <c r="C886" s="13"/>
      <c r="D886" s="13"/>
      <c r="E886" s="9"/>
      <c r="F886" s="7"/>
      <c r="G886" s="8"/>
      <c r="H886" s="6"/>
      <c r="I886" s="6"/>
      <c r="J886" s="8"/>
      <c r="K886" s="8"/>
      <c r="L886" s="8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13"/>
      <c r="C887" s="13"/>
      <c r="D887" s="13"/>
      <c r="E887" s="9"/>
      <c r="F887" s="7"/>
      <c r="G887" s="8"/>
      <c r="H887" s="6"/>
      <c r="I887" s="6"/>
      <c r="J887" s="8"/>
      <c r="K887" s="8"/>
      <c r="L887" s="8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13"/>
      <c r="C888" s="13"/>
      <c r="D888" s="13"/>
      <c r="E888" s="9"/>
      <c r="F888" s="7"/>
      <c r="G888" s="8"/>
      <c r="H888" s="6"/>
      <c r="I888" s="6"/>
      <c r="J888" s="8"/>
      <c r="K888" s="8"/>
      <c r="L888" s="8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13"/>
      <c r="C889" s="13"/>
      <c r="D889" s="13"/>
      <c r="E889" s="9"/>
      <c r="F889" s="7"/>
      <c r="G889" s="8"/>
      <c r="H889" s="6"/>
      <c r="I889" s="6"/>
      <c r="J889" s="8"/>
      <c r="K889" s="8"/>
      <c r="L889" s="8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13"/>
      <c r="C890" s="13"/>
      <c r="D890" s="13"/>
      <c r="E890" s="9"/>
      <c r="F890" s="7"/>
      <c r="G890" s="8"/>
      <c r="H890" s="6"/>
      <c r="I890" s="6"/>
      <c r="J890" s="8"/>
      <c r="K890" s="8"/>
      <c r="L890" s="8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13"/>
      <c r="C891" s="13"/>
      <c r="D891" s="13"/>
      <c r="E891" s="9"/>
      <c r="F891" s="7"/>
      <c r="G891" s="8"/>
      <c r="H891" s="6"/>
      <c r="I891" s="6"/>
      <c r="J891" s="8"/>
      <c r="K891" s="8"/>
      <c r="L891" s="8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13"/>
      <c r="C892" s="13"/>
      <c r="D892" s="13"/>
      <c r="E892" s="9"/>
      <c r="F892" s="7"/>
      <c r="G892" s="8"/>
      <c r="H892" s="6"/>
      <c r="I892" s="6"/>
      <c r="J892" s="8"/>
      <c r="K892" s="8"/>
      <c r="L892" s="8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13"/>
      <c r="C893" s="13"/>
      <c r="D893" s="13"/>
      <c r="E893" s="9"/>
      <c r="F893" s="7"/>
      <c r="G893" s="8"/>
      <c r="H893" s="6"/>
      <c r="I893" s="6"/>
      <c r="J893" s="8"/>
      <c r="K893" s="8"/>
      <c r="L893" s="8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13"/>
      <c r="C894" s="13"/>
      <c r="D894" s="13"/>
      <c r="E894" s="9"/>
      <c r="F894" s="7"/>
      <c r="G894" s="8"/>
      <c r="H894" s="6"/>
      <c r="I894" s="6"/>
      <c r="J894" s="8"/>
      <c r="K894" s="8"/>
      <c r="L894" s="8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13"/>
      <c r="C895" s="13"/>
      <c r="D895" s="13"/>
      <c r="E895" s="9"/>
      <c r="F895" s="7"/>
      <c r="G895" s="8"/>
      <c r="H895" s="6"/>
      <c r="I895" s="6"/>
      <c r="J895" s="8"/>
      <c r="K895" s="8"/>
      <c r="L895" s="8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13"/>
      <c r="C896" s="13"/>
      <c r="D896" s="13"/>
      <c r="E896" s="9"/>
      <c r="F896" s="7"/>
      <c r="G896" s="8"/>
      <c r="H896" s="6"/>
      <c r="I896" s="6"/>
      <c r="J896" s="8"/>
      <c r="K896" s="8"/>
      <c r="L896" s="8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13"/>
      <c r="C897" s="13"/>
      <c r="D897" s="13"/>
      <c r="E897" s="9"/>
      <c r="F897" s="7"/>
      <c r="G897" s="8"/>
      <c r="H897" s="6"/>
      <c r="I897" s="6"/>
      <c r="J897" s="8"/>
      <c r="K897" s="8"/>
      <c r="L897" s="8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13"/>
      <c r="C898" s="13"/>
      <c r="D898" s="13"/>
      <c r="E898" s="9"/>
      <c r="F898" s="7"/>
      <c r="G898" s="8"/>
      <c r="H898" s="6"/>
      <c r="I898" s="6"/>
      <c r="J898" s="8"/>
      <c r="K898" s="8"/>
      <c r="L898" s="8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13"/>
      <c r="C899" s="13"/>
      <c r="D899" s="13"/>
      <c r="E899" s="9"/>
      <c r="F899" s="7"/>
      <c r="G899" s="8"/>
      <c r="H899" s="6"/>
      <c r="I899" s="6"/>
      <c r="J899" s="8"/>
      <c r="K899" s="8"/>
      <c r="L899" s="8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13"/>
      <c r="C900" s="13"/>
      <c r="D900" s="13"/>
      <c r="E900" s="9"/>
      <c r="F900" s="7"/>
      <c r="G900" s="8"/>
      <c r="H900" s="6"/>
      <c r="I900" s="6"/>
      <c r="J900" s="8"/>
      <c r="K900" s="8"/>
      <c r="L900" s="8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13"/>
      <c r="C901" s="13"/>
      <c r="D901" s="13"/>
      <c r="E901" s="9"/>
      <c r="F901" s="7"/>
      <c r="G901" s="8"/>
      <c r="H901" s="6"/>
      <c r="I901" s="6"/>
      <c r="J901" s="8"/>
      <c r="K901" s="8"/>
      <c r="L901" s="8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13"/>
      <c r="C902" s="13"/>
      <c r="D902" s="13"/>
      <c r="E902" s="9"/>
      <c r="F902" s="7"/>
      <c r="G902" s="8"/>
      <c r="H902" s="6"/>
      <c r="I902" s="6"/>
      <c r="J902" s="8"/>
      <c r="K902" s="8"/>
      <c r="L902" s="8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13"/>
      <c r="C903" s="13"/>
      <c r="D903" s="13"/>
      <c r="E903" s="9"/>
      <c r="F903" s="7"/>
      <c r="G903" s="8"/>
      <c r="H903" s="6"/>
      <c r="I903" s="6"/>
      <c r="J903" s="8"/>
      <c r="K903" s="8"/>
      <c r="L903" s="8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13"/>
      <c r="C904" s="13"/>
      <c r="D904" s="13"/>
      <c r="E904" s="9"/>
      <c r="F904" s="7"/>
      <c r="G904" s="8"/>
      <c r="H904" s="6"/>
      <c r="I904" s="6"/>
      <c r="J904" s="8"/>
      <c r="K904" s="8"/>
      <c r="L904" s="8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13"/>
      <c r="C905" s="13"/>
      <c r="D905" s="13"/>
      <c r="E905" s="9"/>
      <c r="F905" s="7"/>
      <c r="G905" s="8"/>
      <c r="H905" s="6"/>
      <c r="I905" s="6"/>
      <c r="J905" s="8"/>
      <c r="K905" s="8"/>
      <c r="L905" s="8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13"/>
      <c r="C906" s="13"/>
      <c r="D906" s="13"/>
      <c r="E906" s="9"/>
      <c r="F906" s="7"/>
      <c r="G906" s="8"/>
      <c r="H906" s="6"/>
      <c r="I906" s="6"/>
      <c r="J906" s="8"/>
      <c r="K906" s="8"/>
      <c r="L906" s="8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13"/>
      <c r="C907" s="13"/>
      <c r="D907" s="13"/>
      <c r="E907" s="9"/>
      <c r="F907" s="7"/>
      <c r="G907" s="8"/>
      <c r="H907" s="6"/>
      <c r="I907" s="6"/>
      <c r="J907" s="8"/>
      <c r="K907" s="8"/>
      <c r="L907" s="8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13"/>
      <c r="C908" s="13"/>
      <c r="D908" s="13"/>
      <c r="E908" s="9"/>
      <c r="F908" s="7"/>
      <c r="G908" s="8"/>
      <c r="H908" s="6"/>
      <c r="I908" s="6"/>
      <c r="J908" s="8"/>
      <c r="K908" s="8"/>
      <c r="L908" s="8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13"/>
      <c r="C909" s="13"/>
      <c r="D909" s="13"/>
      <c r="E909" s="9"/>
      <c r="F909" s="7"/>
      <c r="G909" s="8"/>
      <c r="H909" s="6"/>
      <c r="I909" s="6"/>
      <c r="J909" s="8"/>
      <c r="K909" s="8"/>
      <c r="L909" s="8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13"/>
      <c r="C910" s="13"/>
      <c r="D910" s="13"/>
      <c r="E910" s="9"/>
      <c r="F910" s="7"/>
      <c r="G910" s="8"/>
      <c r="H910" s="6"/>
      <c r="I910" s="6"/>
      <c r="J910" s="8"/>
      <c r="K910" s="8"/>
      <c r="L910" s="8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13"/>
      <c r="C911" s="13"/>
      <c r="D911" s="13"/>
      <c r="E911" s="9"/>
      <c r="F911" s="7"/>
      <c r="G911" s="8"/>
      <c r="H911" s="6"/>
      <c r="I911" s="6"/>
      <c r="J911" s="8"/>
      <c r="K911" s="8"/>
      <c r="L911" s="8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13"/>
      <c r="C912" s="13"/>
      <c r="D912" s="13"/>
      <c r="E912" s="9"/>
      <c r="F912" s="7"/>
      <c r="G912" s="8"/>
      <c r="H912" s="6"/>
      <c r="I912" s="6"/>
      <c r="J912" s="8"/>
      <c r="K912" s="8"/>
      <c r="L912" s="8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13"/>
      <c r="C913" s="13"/>
      <c r="D913" s="13"/>
      <c r="E913" s="9"/>
      <c r="F913" s="7"/>
      <c r="G913" s="8"/>
      <c r="H913" s="6"/>
      <c r="I913" s="6"/>
      <c r="J913" s="8"/>
      <c r="K913" s="8"/>
      <c r="L913" s="8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13"/>
      <c r="C914" s="13"/>
      <c r="D914" s="13"/>
      <c r="E914" s="9"/>
      <c r="F914" s="7"/>
      <c r="G914" s="8"/>
      <c r="H914" s="6"/>
      <c r="I914" s="6"/>
      <c r="J914" s="8"/>
      <c r="K914" s="8"/>
      <c r="L914" s="8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13"/>
      <c r="C915" s="13"/>
      <c r="D915" s="13"/>
      <c r="E915" s="9"/>
      <c r="F915" s="7"/>
      <c r="G915" s="8"/>
      <c r="H915" s="6"/>
      <c r="I915" s="6"/>
      <c r="J915" s="8"/>
      <c r="K915" s="8"/>
      <c r="L915" s="8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13"/>
      <c r="C916" s="13"/>
      <c r="D916" s="13"/>
      <c r="E916" s="9"/>
      <c r="F916" s="7"/>
      <c r="G916" s="8"/>
      <c r="H916" s="6"/>
      <c r="I916" s="6"/>
      <c r="J916" s="8"/>
      <c r="K916" s="8"/>
      <c r="L916" s="8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13"/>
      <c r="C917" s="13"/>
      <c r="D917" s="13"/>
      <c r="E917" s="9"/>
      <c r="F917" s="7"/>
      <c r="G917" s="8"/>
      <c r="H917" s="6"/>
      <c r="I917" s="6"/>
      <c r="J917" s="8"/>
      <c r="K917" s="8"/>
      <c r="L917" s="8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13"/>
      <c r="C918" s="13"/>
      <c r="D918" s="13"/>
      <c r="E918" s="9"/>
      <c r="F918" s="7"/>
      <c r="G918" s="8"/>
      <c r="H918" s="6"/>
      <c r="I918" s="6"/>
      <c r="J918" s="8"/>
      <c r="K918" s="8"/>
      <c r="L918" s="8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13"/>
      <c r="C919" s="13"/>
      <c r="D919" s="13"/>
      <c r="E919" s="9"/>
      <c r="F919" s="7"/>
      <c r="G919" s="8"/>
      <c r="H919" s="6"/>
      <c r="I919" s="6"/>
      <c r="J919" s="8"/>
      <c r="K919" s="8"/>
      <c r="L919" s="8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13"/>
      <c r="C920" s="13"/>
      <c r="D920" s="13"/>
      <c r="E920" s="9"/>
      <c r="F920" s="7"/>
      <c r="G920" s="8"/>
      <c r="H920" s="6"/>
      <c r="I920" s="6"/>
      <c r="J920" s="8"/>
      <c r="K920" s="8"/>
      <c r="L920" s="8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13"/>
      <c r="C921" s="13"/>
      <c r="D921" s="13"/>
      <c r="E921" s="9"/>
      <c r="F921" s="7"/>
      <c r="G921" s="8"/>
      <c r="H921" s="6"/>
      <c r="I921" s="6"/>
      <c r="J921" s="8"/>
      <c r="K921" s="8"/>
      <c r="L921" s="8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13"/>
      <c r="C922" s="13"/>
      <c r="D922" s="13"/>
      <c r="E922" s="9"/>
      <c r="F922" s="7"/>
      <c r="G922" s="8"/>
      <c r="H922" s="6"/>
      <c r="I922" s="6"/>
      <c r="J922" s="8"/>
      <c r="K922" s="8"/>
      <c r="L922" s="8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13"/>
      <c r="C923" s="13"/>
      <c r="D923" s="13"/>
      <c r="E923" s="9"/>
      <c r="F923" s="7"/>
      <c r="G923" s="8"/>
      <c r="H923" s="6"/>
      <c r="I923" s="6"/>
      <c r="J923" s="8"/>
      <c r="K923" s="8"/>
      <c r="L923" s="8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13"/>
      <c r="C924" s="13"/>
      <c r="D924" s="13"/>
      <c r="E924" s="9"/>
      <c r="F924" s="7"/>
      <c r="G924" s="8"/>
      <c r="H924" s="6"/>
      <c r="I924" s="6"/>
      <c r="J924" s="8"/>
      <c r="K924" s="8"/>
      <c r="L924" s="8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13"/>
      <c r="C925" s="13"/>
      <c r="D925" s="13"/>
      <c r="E925" s="9"/>
      <c r="F925" s="7"/>
      <c r="G925" s="8"/>
      <c r="H925" s="6"/>
      <c r="I925" s="6"/>
      <c r="J925" s="8"/>
      <c r="K925" s="8"/>
      <c r="L925" s="8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13"/>
      <c r="C926" s="13"/>
      <c r="D926" s="13"/>
      <c r="E926" s="9"/>
      <c r="F926" s="7"/>
      <c r="G926" s="8"/>
      <c r="H926" s="6"/>
      <c r="I926" s="6"/>
      <c r="J926" s="8"/>
      <c r="K926" s="8"/>
      <c r="L926" s="8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13"/>
      <c r="C927" s="13"/>
      <c r="D927" s="13"/>
      <c r="E927" s="9"/>
      <c r="F927" s="7"/>
      <c r="G927" s="8"/>
      <c r="H927" s="6"/>
      <c r="I927" s="6"/>
      <c r="J927" s="8"/>
      <c r="K927" s="8"/>
      <c r="L927" s="8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13"/>
      <c r="C928" s="13"/>
      <c r="D928" s="13"/>
      <c r="E928" s="9"/>
      <c r="F928" s="7"/>
      <c r="G928" s="8"/>
      <c r="H928" s="6"/>
      <c r="I928" s="6"/>
      <c r="J928" s="8"/>
      <c r="K928" s="8"/>
      <c r="L928" s="8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13"/>
      <c r="C929" s="13"/>
      <c r="D929" s="13"/>
      <c r="E929" s="9"/>
      <c r="F929" s="7"/>
      <c r="G929" s="8"/>
      <c r="H929" s="6"/>
      <c r="I929" s="6"/>
      <c r="J929" s="8"/>
      <c r="K929" s="8"/>
      <c r="L929" s="8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13"/>
      <c r="C930" s="13"/>
      <c r="D930" s="13"/>
      <c r="E930" s="9"/>
      <c r="F930" s="7"/>
      <c r="G930" s="8"/>
      <c r="H930" s="6"/>
      <c r="I930" s="6"/>
      <c r="J930" s="8"/>
      <c r="K930" s="8"/>
      <c r="L930" s="8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13"/>
      <c r="C931" s="13"/>
      <c r="D931" s="13"/>
      <c r="E931" s="9"/>
      <c r="F931" s="7"/>
      <c r="G931" s="8"/>
      <c r="H931" s="6"/>
      <c r="I931" s="6"/>
      <c r="J931" s="8"/>
      <c r="K931" s="8"/>
      <c r="L931" s="8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13"/>
      <c r="C932" s="13"/>
      <c r="D932" s="13"/>
      <c r="E932" s="9"/>
      <c r="F932" s="7"/>
      <c r="G932" s="8"/>
      <c r="H932" s="6"/>
      <c r="I932" s="6"/>
      <c r="J932" s="8"/>
      <c r="K932" s="8"/>
      <c r="L932" s="8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13"/>
      <c r="C933" s="13"/>
      <c r="D933" s="13"/>
      <c r="E933" s="9"/>
      <c r="F933" s="7"/>
      <c r="G933" s="8"/>
      <c r="H933" s="6"/>
      <c r="I933" s="6"/>
      <c r="J933" s="8"/>
      <c r="K933" s="8"/>
      <c r="L933" s="8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13"/>
      <c r="C934" s="13"/>
      <c r="D934" s="13"/>
      <c r="E934" s="9"/>
      <c r="F934" s="7"/>
      <c r="G934" s="8"/>
      <c r="H934" s="6"/>
      <c r="I934" s="6"/>
      <c r="J934" s="8"/>
      <c r="K934" s="8"/>
      <c r="L934" s="8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13"/>
      <c r="C935" s="13"/>
      <c r="D935" s="13"/>
      <c r="E935" s="9"/>
      <c r="F935" s="7"/>
      <c r="G935" s="8"/>
      <c r="H935" s="6"/>
      <c r="I935" s="6"/>
      <c r="J935" s="8"/>
      <c r="K935" s="8"/>
      <c r="L935" s="8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13"/>
      <c r="C936" s="13"/>
      <c r="D936" s="13"/>
      <c r="E936" s="9"/>
      <c r="F936" s="7"/>
      <c r="G936" s="8"/>
      <c r="H936" s="6"/>
      <c r="I936" s="6"/>
      <c r="J936" s="8"/>
      <c r="K936" s="8"/>
      <c r="L936" s="8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13"/>
      <c r="C937" s="13"/>
      <c r="D937" s="13"/>
      <c r="E937" s="9"/>
      <c r="F937" s="7"/>
      <c r="G937" s="8"/>
      <c r="H937" s="6"/>
      <c r="I937" s="6"/>
      <c r="J937" s="8"/>
      <c r="K937" s="8"/>
      <c r="L937" s="8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13"/>
      <c r="C938" s="13"/>
      <c r="D938" s="13"/>
      <c r="E938" s="9"/>
      <c r="F938" s="7"/>
      <c r="G938" s="8"/>
      <c r="H938" s="6"/>
      <c r="I938" s="6"/>
      <c r="J938" s="8"/>
      <c r="K938" s="8"/>
      <c r="L938" s="8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13"/>
      <c r="C939" s="13"/>
      <c r="D939" s="13"/>
      <c r="E939" s="9"/>
      <c r="F939" s="7"/>
      <c r="G939" s="8"/>
      <c r="H939" s="6"/>
      <c r="I939" s="6"/>
      <c r="J939" s="8"/>
      <c r="K939" s="8"/>
      <c r="L939" s="8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13"/>
      <c r="C940" s="13"/>
      <c r="D940" s="13"/>
      <c r="E940" s="9"/>
      <c r="F940" s="7"/>
      <c r="G940" s="8"/>
      <c r="H940" s="6"/>
      <c r="I940" s="6"/>
      <c r="J940" s="8"/>
      <c r="K940" s="8"/>
      <c r="L940" s="8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13"/>
      <c r="C941" s="13"/>
      <c r="D941" s="13"/>
      <c r="E941" s="9"/>
      <c r="F941" s="7"/>
      <c r="G941" s="8"/>
      <c r="H941" s="6"/>
      <c r="I941" s="6"/>
      <c r="J941" s="8"/>
      <c r="K941" s="8"/>
      <c r="L941" s="8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13"/>
      <c r="C942" s="13"/>
      <c r="D942" s="13"/>
      <c r="E942" s="9"/>
      <c r="F942" s="7"/>
      <c r="G942" s="8"/>
      <c r="H942" s="6"/>
      <c r="I942" s="6"/>
      <c r="J942" s="8"/>
      <c r="K942" s="8"/>
      <c r="L942" s="8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13"/>
      <c r="C943" s="13"/>
      <c r="D943" s="13"/>
      <c r="E943" s="9"/>
      <c r="F943" s="7"/>
      <c r="G943" s="8"/>
      <c r="H943" s="6"/>
      <c r="I943" s="6"/>
      <c r="J943" s="8"/>
      <c r="K943" s="8"/>
      <c r="L943" s="8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13"/>
      <c r="C944" s="13"/>
      <c r="D944" s="13"/>
      <c r="E944" s="9"/>
      <c r="F944" s="7"/>
      <c r="G944" s="8"/>
      <c r="H944" s="6"/>
      <c r="I944" s="6"/>
      <c r="J944" s="8"/>
      <c r="K944" s="8"/>
      <c r="L944" s="8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13"/>
      <c r="C945" s="13"/>
      <c r="D945" s="13"/>
      <c r="E945" s="9"/>
      <c r="F945" s="7"/>
      <c r="G945" s="8"/>
      <c r="H945" s="6"/>
      <c r="I945" s="6"/>
      <c r="J945" s="8"/>
      <c r="K945" s="8"/>
      <c r="L945" s="8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13"/>
      <c r="C946" s="13"/>
      <c r="D946" s="13"/>
      <c r="E946" s="9"/>
      <c r="F946" s="7"/>
      <c r="G946" s="8"/>
      <c r="H946" s="6"/>
      <c r="I946" s="6"/>
      <c r="J946" s="8"/>
      <c r="K946" s="8"/>
      <c r="L946" s="8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13"/>
      <c r="C947" s="13"/>
      <c r="D947" s="13"/>
      <c r="E947" s="9"/>
      <c r="F947" s="7"/>
      <c r="G947" s="8"/>
      <c r="H947" s="6"/>
      <c r="I947" s="6"/>
      <c r="J947" s="8"/>
      <c r="K947" s="8"/>
      <c r="L947" s="8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13"/>
      <c r="C948" s="13"/>
      <c r="D948" s="13"/>
      <c r="E948" s="9"/>
      <c r="F948" s="7"/>
      <c r="G948" s="8"/>
      <c r="H948" s="6"/>
      <c r="I948" s="6"/>
      <c r="J948" s="8"/>
      <c r="K948" s="8"/>
      <c r="L948" s="8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13"/>
      <c r="C949" s="13"/>
      <c r="D949" s="13"/>
      <c r="E949" s="9"/>
      <c r="F949" s="7"/>
      <c r="G949" s="8"/>
      <c r="H949" s="6"/>
      <c r="I949" s="6"/>
      <c r="J949" s="8"/>
      <c r="K949" s="8"/>
      <c r="L949" s="8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13"/>
      <c r="C950" s="13"/>
      <c r="D950" s="13"/>
      <c r="E950" s="9"/>
      <c r="F950" s="7"/>
      <c r="G950" s="8"/>
      <c r="H950" s="6"/>
      <c r="I950" s="6"/>
      <c r="J950" s="8"/>
      <c r="K950" s="8"/>
      <c r="L950" s="8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13"/>
      <c r="C951" s="13"/>
      <c r="D951" s="13"/>
      <c r="E951" s="9"/>
      <c r="F951" s="7"/>
      <c r="G951" s="8"/>
      <c r="H951" s="6"/>
      <c r="I951" s="6"/>
      <c r="J951" s="8"/>
      <c r="K951" s="8"/>
      <c r="L951" s="8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13"/>
      <c r="C952" s="13"/>
      <c r="D952" s="13"/>
      <c r="E952" s="9"/>
      <c r="F952" s="7"/>
      <c r="G952" s="8"/>
      <c r="H952" s="6"/>
      <c r="I952" s="6"/>
      <c r="J952" s="8"/>
      <c r="K952" s="8"/>
      <c r="L952" s="8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13"/>
      <c r="C953" s="13"/>
      <c r="D953" s="13"/>
      <c r="E953" s="9"/>
      <c r="F953" s="7"/>
      <c r="G953" s="8"/>
      <c r="H953" s="6"/>
      <c r="I953" s="6"/>
      <c r="J953" s="8"/>
      <c r="K953" s="8"/>
      <c r="L953" s="8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13"/>
      <c r="C954" s="13"/>
      <c r="D954" s="13"/>
      <c r="E954" s="9"/>
      <c r="F954" s="7"/>
      <c r="G954" s="8"/>
      <c r="H954" s="6"/>
      <c r="I954" s="6"/>
      <c r="J954" s="8"/>
      <c r="K954" s="8"/>
      <c r="L954" s="8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13"/>
      <c r="C955" s="13"/>
      <c r="D955" s="13"/>
      <c r="E955" s="9"/>
      <c r="F955" s="7"/>
      <c r="G955" s="8"/>
      <c r="H955" s="6"/>
      <c r="I955" s="6"/>
      <c r="J955" s="8"/>
      <c r="K955" s="8"/>
      <c r="L955" s="8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13"/>
      <c r="C956" s="13"/>
      <c r="D956" s="13"/>
      <c r="E956" s="9"/>
      <c r="F956" s="7"/>
      <c r="G956" s="8"/>
      <c r="H956" s="6"/>
      <c r="I956" s="6"/>
      <c r="J956" s="8"/>
      <c r="K956" s="8"/>
      <c r="L956" s="8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13"/>
      <c r="C957" s="13"/>
      <c r="D957" s="13"/>
      <c r="E957" s="9"/>
      <c r="F957" s="7"/>
      <c r="G957" s="8"/>
      <c r="H957" s="6"/>
      <c r="I957" s="6"/>
      <c r="J957" s="8"/>
      <c r="K957" s="8"/>
      <c r="L957" s="8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13"/>
      <c r="C958" s="13"/>
      <c r="D958" s="13"/>
      <c r="E958" s="9"/>
      <c r="F958" s="7"/>
      <c r="G958" s="8"/>
      <c r="H958" s="6"/>
      <c r="I958" s="6"/>
      <c r="J958" s="8"/>
      <c r="K958" s="8"/>
      <c r="L958" s="8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13"/>
      <c r="C959" s="13"/>
      <c r="D959" s="13"/>
      <c r="E959" s="9"/>
      <c r="F959" s="7"/>
      <c r="G959" s="8"/>
      <c r="H959" s="6"/>
      <c r="I959" s="6"/>
      <c r="J959" s="8"/>
      <c r="K959" s="8"/>
      <c r="L959" s="8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13"/>
      <c r="C960" s="13"/>
      <c r="D960" s="13"/>
      <c r="E960" s="9"/>
      <c r="F960" s="7"/>
      <c r="G960" s="8"/>
      <c r="H960" s="6"/>
      <c r="I960" s="6"/>
      <c r="J960" s="8"/>
      <c r="K960" s="8"/>
      <c r="L960" s="8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13"/>
      <c r="C961" s="13"/>
      <c r="D961" s="13"/>
      <c r="E961" s="9"/>
      <c r="F961" s="7"/>
      <c r="G961" s="8"/>
      <c r="H961" s="6"/>
      <c r="I961" s="6"/>
      <c r="J961" s="8"/>
      <c r="K961" s="8"/>
      <c r="L961" s="8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13"/>
      <c r="C962" s="13"/>
      <c r="D962" s="13"/>
      <c r="E962" s="9"/>
      <c r="F962" s="7"/>
      <c r="G962" s="8"/>
      <c r="H962" s="6"/>
      <c r="I962" s="6"/>
      <c r="J962" s="8"/>
      <c r="K962" s="8"/>
      <c r="L962" s="8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13"/>
      <c r="C963" s="13"/>
      <c r="D963" s="13"/>
      <c r="E963" s="9"/>
      <c r="F963" s="7"/>
      <c r="G963" s="8"/>
      <c r="H963" s="6"/>
      <c r="I963" s="6"/>
      <c r="J963" s="8"/>
      <c r="K963" s="8"/>
      <c r="L963" s="8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13"/>
      <c r="C964" s="13"/>
      <c r="D964" s="13"/>
      <c r="E964" s="9"/>
      <c r="F964" s="7"/>
      <c r="G964" s="8"/>
      <c r="H964" s="6"/>
      <c r="I964" s="6"/>
      <c r="J964" s="8"/>
      <c r="K964" s="8"/>
      <c r="L964" s="8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13"/>
      <c r="C965" s="13"/>
      <c r="D965" s="13"/>
      <c r="E965" s="9"/>
      <c r="F965" s="7"/>
      <c r="G965" s="8"/>
      <c r="H965" s="6"/>
      <c r="I965" s="6"/>
      <c r="J965" s="8"/>
      <c r="K965" s="8"/>
      <c r="L965" s="8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13"/>
      <c r="C966" s="13"/>
      <c r="D966" s="13"/>
      <c r="E966" s="9"/>
      <c r="F966" s="7"/>
      <c r="G966" s="8"/>
      <c r="H966" s="6"/>
      <c r="I966" s="6"/>
      <c r="J966" s="8"/>
      <c r="K966" s="8"/>
      <c r="L966" s="8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13"/>
      <c r="C967" s="13"/>
      <c r="D967" s="13"/>
      <c r="E967" s="9"/>
      <c r="F967" s="7"/>
      <c r="G967" s="8"/>
      <c r="H967" s="6"/>
      <c r="I967" s="6"/>
      <c r="J967" s="8"/>
      <c r="K967" s="8"/>
      <c r="L967" s="8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13"/>
      <c r="C968" s="13"/>
      <c r="D968" s="13"/>
      <c r="E968" s="9"/>
      <c r="F968" s="7"/>
      <c r="G968" s="8"/>
      <c r="H968" s="6"/>
      <c r="I968" s="6"/>
      <c r="J968" s="8"/>
      <c r="K968" s="8"/>
      <c r="L968" s="8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13"/>
      <c r="C969" s="13"/>
      <c r="D969" s="13"/>
      <c r="E969" s="9"/>
      <c r="F969" s="7"/>
      <c r="G969" s="8"/>
      <c r="H969" s="6"/>
      <c r="I969" s="6"/>
      <c r="J969" s="8"/>
      <c r="K969" s="8"/>
      <c r="L969" s="8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13"/>
      <c r="C970" s="13"/>
      <c r="D970" s="13"/>
      <c r="E970" s="9"/>
      <c r="F970" s="7"/>
      <c r="G970" s="8"/>
      <c r="H970" s="6"/>
      <c r="I970" s="6"/>
      <c r="J970" s="8"/>
      <c r="K970" s="8"/>
      <c r="L970" s="8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13"/>
      <c r="C971" s="13"/>
      <c r="D971" s="13"/>
      <c r="E971" s="9"/>
      <c r="F971" s="7"/>
      <c r="G971" s="8"/>
      <c r="H971" s="6"/>
      <c r="I971" s="6"/>
      <c r="J971" s="8"/>
      <c r="K971" s="8"/>
      <c r="L971" s="8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13"/>
      <c r="C972" s="13"/>
      <c r="D972" s="13"/>
      <c r="E972" s="9"/>
      <c r="F972" s="7"/>
      <c r="G972" s="8"/>
      <c r="H972" s="6"/>
      <c r="I972" s="6"/>
      <c r="J972" s="8"/>
      <c r="K972" s="8"/>
      <c r="L972" s="8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13"/>
      <c r="C973" s="13"/>
      <c r="D973" s="13"/>
      <c r="E973" s="9"/>
      <c r="F973" s="7"/>
      <c r="G973" s="8"/>
      <c r="H973" s="6"/>
      <c r="I973" s="6"/>
      <c r="J973" s="8"/>
      <c r="K973" s="8"/>
      <c r="L973" s="8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13"/>
      <c r="C974" s="13"/>
      <c r="D974" s="13"/>
      <c r="E974" s="9"/>
      <c r="F974" s="7"/>
      <c r="G974" s="8"/>
      <c r="H974" s="6"/>
      <c r="I974" s="6"/>
      <c r="J974" s="8"/>
      <c r="K974" s="8"/>
      <c r="L974" s="8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13"/>
      <c r="C975" s="13"/>
      <c r="D975" s="13"/>
      <c r="E975" s="9"/>
      <c r="F975" s="7"/>
      <c r="G975" s="8"/>
      <c r="H975" s="6"/>
      <c r="I975" s="6"/>
      <c r="J975" s="8"/>
      <c r="K975" s="8"/>
      <c r="L975" s="8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13"/>
      <c r="C976" s="13"/>
      <c r="D976" s="13"/>
      <c r="E976" s="9"/>
      <c r="F976" s="7"/>
      <c r="G976" s="8"/>
      <c r="H976" s="6"/>
      <c r="I976" s="6"/>
      <c r="J976" s="8"/>
      <c r="K976" s="8"/>
      <c r="L976" s="8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13"/>
      <c r="C977" s="13"/>
      <c r="D977" s="13"/>
      <c r="E977" s="9"/>
      <c r="F977" s="7"/>
      <c r="G977" s="8"/>
      <c r="H977" s="6"/>
      <c r="I977" s="6"/>
      <c r="J977" s="8"/>
      <c r="K977" s="8"/>
      <c r="L977" s="8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13"/>
      <c r="C978" s="13"/>
      <c r="D978" s="13"/>
      <c r="E978" s="9"/>
      <c r="F978" s="7"/>
      <c r="G978" s="8"/>
      <c r="H978" s="6"/>
      <c r="I978" s="6"/>
      <c r="J978" s="8"/>
      <c r="K978" s="8"/>
      <c r="L978" s="8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13"/>
      <c r="C979" s="13"/>
      <c r="D979" s="13"/>
      <c r="E979" s="9"/>
      <c r="F979" s="7"/>
      <c r="G979" s="8"/>
      <c r="H979" s="6"/>
      <c r="I979" s="6"/>
      <c r="J979" s="8"/>
      <c r="K979" s="8"/>
      <c r="L979" s="8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13"/>
      <c r="C980" s="13"/>
      <c r="D980" s="13"/>
      <c r="E980" s="9"/>
      <c r="F980" s="7"/>
      <c r="G980" s="8"/>
      <c r="H980" s="6"/>
      <c r="I980" s="6"/>
      <c r="J980" s="8"/>
      <c r="K980" s="8"/>
      <c r="L980" s="8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13"/>
      <c r="C981" s="13"/>
      <c r="D981" s="13"/>
      <c r="E981" s="9"/>
      <c r="F981" s="7"/>
      <c r="G981" s="8"/>
      <c r="H981" s="6"/>
      <c r="I981" s="6"/>
      <c r="J981" s="8"/>
      <c r="K981" s="8"/>
      <c r="L981" s="8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13"/>
      <c r="C982" s="13"/>
      <c r="D982" s="13"/>
      <c r="E982" s="9"/>
      <c r="F982" s="7"/>
      <c r="G982" s="8"/>
      <c r="H982" s="6"/>
      <c r="I982" s="6"/>
      <c r="J982" s="8"/>
      <c r="K982" s="8"/>
      <c r="L982" s="8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13"/>
      <c r="C983" s="13"/>
      <c r="D983" s="13"/>
      <c r="E983" s="9"/>
      <c r="F983" s="7"/>
      <c r="G983" s="8"/>
      <c r="H983" s="6"/>
      <c r="I983" s="6"/>
      <c r="J983" s="8"/>
      <c r="K983" s="8"/>
      <c r="L983" s="8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13"/>
      <c r="C984" s="13"/>
      <c r="D984" s="13"/>
      <c r="E984" s="9"/>
      <c r="F984" s="7"/>
      <c r="G984" s="8"/>
      <c r="H984" s="6"/>
      <c r="I984" s="6"/>
      <c r="J984" s="8"/>
      <c r="K984" s="8"/>
      <c r="L984" s="8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13"/>
      <c r="C985" s="13"/>
      <c r="D985" s="13"/>
      <c r="E985" s="9"/>
      <c r="F985" s="7"/>
      <c r="G985" s="8"/>
      <c r="H985" s="6"/>
      <c r="I985" s="6"/>
      <c r="J985" s="8"/>
      <c r="K985" s="8"/>
      <c r="L985" s="8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13"/>
      <c r="C986" s="13"/>
      <c r="D986" s="13"/>
      <c r="E986" s="9"/>
      <c r="F986" s="7"/>
      <c r="G986" s="8"/>
      <c r="H986" s="6"/>
      <c r="I986" s="6"/>
      <c r="J986" s="8"/>
      <c r="K986" s="8"/>
      <c r="L986" s="8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13"/>
      <c r="C987" s="13"/>
      <c r="D987" s="13"/>
      <c r="E987" s="9"/>
      <c r="F987" s="7"/>
      <c r="G987" s="8"/>
      <c r="H987" s="6"/>
      <c r="I987" s="6"/>
      <c r="J987" s="8"/>
      <c r="K987" s="8"/>
      <c r="L987" s="8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13"/>
      <c r="C988" s="13"/>
      <c r="D988" s="13"/>
      <c r="E988" s="9"/>
      <c r="F988" s="7"/>
      <c r="G988" s="8"/>
      <c r="H988" s="6"/>
      <c r="I988" s="6"/>
      <c r="J988" s="8"/>
      <c r="K988" s="8"/>
      <c r="L988" s="8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13"/>
      <c r="C989" s="13"/>
      <c r="D989" s="13"/>
      <c r="E989" s="9"/>
      <c r="F989" s="7"/>
      <c r="G989" s="8"/>
      <c r="H989" s="6"/>
      <c r="I989" s="6"/>
      <c r="J989" s="8"/>
      <c r="K989" s="8"/>
      <c r="L989" s="8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13"/>
      <c r="C990" s="13"/>
      <c r="D990" s="13"/>
      <c r="E990" s="9"/>
      <c r="F990" s="7"/>
      <c r="G990" s="8"/>
      <c r="H990" s="6"/>
      <c r="I990" s="6"/>
      <c r="J990" s="8"/>
      <c r="K990" s="8"/>
      <c r="L990" s="8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13"/>
      <c r="C991" s="13"/>
      <c r="D991" s="13"/>
      <c r="E991" s="9"/>
      <c r="F991" s="7"/>
      <c r="G991" s="8"/>
      <c r="H991" s="6"/>
      <c r="I991" s="6"/>
      <c r="J991" s="8"/>
      <c r="K991" s="8"/>
      <c r="L991" s="8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13"/>
      <c r="C992" s="13"/>
      <c r="D992" s="13"/>
      <c r="E992" s="9"/>
      <c r="F992" s="7"/>
      <c r="G992" s="8"/>
      <c r="H992" s="6"/>
      <c r="I992" s="6"/>
      <c r="J992" s="8"/>
      <c r="K992" s="8"/>
      <c r="L992" s="8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13"/>
      <c r="C993" s="13"/>
      <c r="D993" s="13"/>
      <c r="E993" s="9"/>
      <c r="F993" s="7"/>
      <c r="G993" s="8"/>
      <c r="H993" s="6"/>
      <c r="I993" s="6"/>
      <c r="J993" s="8"/>
      <c r="K993" s="8"/>
      <c r="L993" s="8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13"/>
      <c r="C994" s="13"/>
      <c r="D994" s="13"/>
      <c r="E994" s="9"/>
      <c r="F994" s="7"/>
      <c r="G994" s="8"/>
      <c r="H994" s="6"/>
      <c r="I994" s="6"/>
      <c r="J994" s="8"/>
      <c r="K994" s="8"/>
      <c r="L994" s="8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13"/>
      <c r="C995" s="13"/>
      <c r="D995" s="13"/>
      <c r="E995" s="9"/>
      <c r="F995" s="7"/>
      <c r="G995" s="8"/>
      <c r="H995" s="6"/>
      <c r="I995" s="6"/>
      <c r="J995" s="8"/>
      <c r="K995" s="8"/>
      <c r="L995" s="8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13"/>
      <c r="C996" s="13"/>
      <c r="D996" s="13"/>
      <c r="E996" s="9"/>
      <c r="F996" s="7"/>
      <c r="G996" s="8"/>
      <c r="H996" s="6"/>
      <c r="I996" s="6"/>
      <c r="J996" s="8"/>
      <c r="K996" s="8"/>
      <c r="L996" s="8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13"/>
      <c r="C997" s="13"/>
      <c r="D997" s="13"/>
      <c r="E997" s="9"/>
      <c r="F997" s="7"/>
      <c r="G997" s="8"/>
      <c r="H997" s="6"/>
      <c r="I997" s="6"/>
      <c r="J997" s="8"/>
      <c r="K997" s="8"/>
      <c r="L997" s="8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13"/>
      <c r="C998" s="13"/>
      <c r="D998" s="13"/>
      <c r="E998" s="9"/>
      <c r="F998" s="7"/>
      <c r="G998" s="8"/>
      <c r="H998" s="6"/>
      <c r="I998" s="6"/>
      <c r="J998" s="8"/>
      <c r="K998" s="8"/>
      <c r="L998" s="8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13"/>
      <c r="C999" s="13"/>
      <c r="D999" s="13"/>
      <c r="E999" s="9"/>
      <c r="F999" s="7"/>
      <c r="G999" s="8"/>
      <c r="H999" s="6"/>
      <c r="I999" s="6"/>
      <c r="J999" s="8"/>
      <c r="K999" s="8"/>
      <c r="L999" s="8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/>
      <c r="B1000" s="13"/>
      <c r="C1000" s="13"/>
      <c r="D1000" s="13"/>
      <c r="E1000" s="9"/>
      <c r="F1000" s="7"/>
      <c r="G1000" s="8"/>
      <c r="H1000" s="6"/>
      <c r="I1000" s="6"/>
      <c r="J1000" s="8"/>
      <c r="K1000" s="8"/>
      <c r="L1000" s="8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ustomSheetViews>
    <customSheetView guid="{B2053525-1D87-4855-A597-6C96D0FF6980}" filter="1" showAutoFilter="1">
      <autoFilter ref="$A$1:$L$1000">
        <filterColumn colId="6">
          <filters blank="1">
            <filter val="4.97"/>
            <filter val="3.40"/>
            <filter val="4.10"/>
            <filter val="4.98"/>
            <filter val="1.23"/>
            <filter val="4.90"/>
            <filter val="4.92"/>
            <filter val="0.51"/>
            <filter val="0.49"/>
            <filter val="0.46"/>
            <filter val="3.38"/>
            <filter val="4.06"/>
            <filter val="4.09"/>
            <filter val="4.20"/>
            <filter val="3.51"/>
            <filter val="4.22"/>
            <filter val="4.23"/>
            <filter val="4.24"/>
            <filter val="6.48"/>
            <filter val="2.03"/>
            <filter val="1.33"/>
            <filter val="0.63"/>
            <filter val="5.74"/>
            <filter val="2.84"/>
            <filter val="1.29"/>
            <filter val="0.57"/>
            <filter val="1.26"/>
            <filter val="4.18"/>
            <filter val="4.31"/>
            <filter val="5.00"/>
            <filter val="6.55"/>
            <filter val="5.01"/>
            <filter val="5.02"/>
            <filter val="4.34"/>
            <filter val="2.91"/>
            <filter val="5.03"/>
            <filter val="4.37"/>
            <filter val="3.68"/>
            <filter val="5.82"/>
            <filter val="3.66"/>
            <filter val="4.30"/>
            <filter val="2.95"/>
            <filter val="5.10"/>
            <filter val="5.11"/>
            <filter val="3.72"/>
            <filter val="4.44"/>
            <filter val="4.46"/>
            <filter val="5.14"/>
            <filter val="4.47"/>
            <filter val="5.15"/>
            <filter val="0.00"/>
            <filter val="3.79"/>
            <filter val="4.41"/>
            <filter val="4.39"/>
            <filter val="4.53"/>
            <filter val="4.54"/>
            <filter val="4.56"/>
            <filter val="3.81"/>
            <filter val="4.57"/>
            <filter val="4.58"/>
            <filter val="5.26"/>
            <filter val="0.11"/>
            <filter val="3.03"/>
            <filter val="3.88"/>
            <filter val="3.87"/>
            <filter val="4.51"/>
            <filter val="0.09"/>
            <filter val="0.06"/>
            <filter val="2.29"/>
            <filter val="0.03"/>
            <filter val="4.64"/>
            <filter val="4.65"/>
            <filter val="5.33"/>
            <filter val="3.94"/>
            <filter val="4.66"/>
            <filter val="5.34"/>
            <filter val="5.37"/>
            <filter val="0.23"/>
            <filter val="2.46"/>
            <filter val="1.77"/>
            <filter val="1.74"/>
            <filter val="2.43"/>
            <filter val="5.30"/>
            <filter val="4.62"/>
            <filter val="5.31"/>
            <filter val="4.63"/>
            <filter val="2.40"/>
            <filter val="3.08"/>
            <filter val="0.14"/>
            <filter val="4.76"/>
            <filter val="4.77"/>
            <filter val="4.79"/>
            <filter val="4.70"/>
            <filter val="3.23"/>
            <filter val="4.72"/>
            <filter val="4.74"/>
            <filter val="5.42"/>
            <filter val="0.29"/>
            <filter val="0.26"/>
            <filter val="4.86"/>
            <filter val="2.60"/>
            <filter val="4.88"/>
            <filter val="4.89"/>
            <filter val="5.57"/>
            <filter val="5.58"/>
            <filter val="3.36"/>
            <filter val="2.66"/>
            <filter val="3.33"/>
            <filter val="0.40"/>
            <filter val="4.83"/>
            <filter val="3.31"/>
            <filter val="6.20"/>
            <filter val="0.39"/>
          </filters>
        </filterColumn>
        <filterColumn colId="0">
          <filters>
            <filter val="SG"/>
          </filters>
        </filterColumn>
        <filterColumn colId="5">
          <filters blank="1">
            <filter val="14.10"/>
            <filter val="37.10"/>
            <filter val="13.40"/>
            <filter val="17.00"/>
            <filter val="31.30"/>
            <filter val="37.90"/>
            <filter val="19.20"/>
            <filter val="8.50"/>
            <filter val="34.20"/>
            <filter val="50.70"/>
            <filter val="16.30"/>
            <filter val="0.50"/>
            <filter val="20.90"/>
            <filter val="23.00"/>
            <filter val="20.10"/>
            <filter val="24.50"/>
            <filter val="11.30"/>
            <filter val="14.20"/>
            <filter val="8.60"/>
            <filter val="31.20"/>
            <filter val="34.10"/>
            <filter val="17.10"/>
            <filter val="2.00"/>
            <filter val="12.80"/>
            <filter val="18.60"/>
            <filter val="19.30"/>
            <filter val="7.10"/>
            <filter val="22.40"/>
            <filter val="20.20"/>
            <filter val="29.70"/>
            <filter val="26.80"/>
            <filter val="24.60"/>
            <filter val="13.20"/>
            <filter val="16.10"/>
            <filter val="31.10"/>
            <filter val="9.40"/>
            <filter val="16.90"/>
            <filter val="39.10"/>
            <filter val="32.60"/>
            <filter val="4.30"/>
            <filter val="1.40"/>
            <filter val="19.90"/>
            <filter val="24.30"/>
            <filter val="22.10"/>
            <filter val="40.80"/>
            <filter val="26.50"/>
            <filter val="27.20"/>
            <filter val="0.80"/>
            <filter val="53.90"/>
            <filter val="20.00"/>
            <filter val="0.00"/>
            <filter val="19.10"/>
            <filter val="11.90"/>
            <filter val="2.20"/>
            <filter val="1.50"/>
            <filter val="4.40"/>
            <filter val="24.40"/>
            <filter val="42.90"/>
            <filter val="28.80"/>
            <filter val="27.30"/>
            <filter val="1.60"/>
            <filter val="33.90"/>
            <filter val="12.30"/>
            <filter val="0.90"/>
            <filter val="36.80"/>
            <filter val="16.70"/>
            <filter val="18.10"/>
            <filter val="0.10"/>
            <filter val="32.40"/>
            <filter val="4.50"/>
            <filter val="35.30"/>
            <filter val="38.20"/>
            <filter val="10.90"/>
            <filter val="22.70"/>
            <filter val="38.10"/>
            <filter val="1.70"/>
            <filter val="6.00"/>
            <filter val="16.00"/>
            <filter val="0.20"/>
            <filter val="30.90"/>
            <filter val="44.90"/>
            <filter val="23.50"/>
            <filter val="44.10"/>
            <filter val="20.60"/>
            <filter val="26.40"/>
            <filter val="36.60"/>
            <filter val="1.80"/>
            <filter val="17.20"/>
            <filter val="1.00"/>
            <filter val="30.80"/>
            <filter val="0.30"/>
            <filter val="6.10"/>
            <filter val="21.80"/>
            <filter val="44.80"/>
            <filter val="21.00"/>
            <filter val="27.60"/>
            <filter val="20.30"/>
            <filter val="25.40"/>
            <filter val="62.30"/>
            <filter val="11.50"/>
            <filter val="36.50"/>
            <filter val="15.10"/>
            <filter val="12.20"/>
            <filter val="8.40"/>
            <filter val="15.90"/>
            <filter val="35.00"/>
            <filter val="18.00"/>
            <filter val="0.40"/>
            <filter val="34.30"/>
            <filter val="14.40"/>
            <filter val="9.10"/>
            <filter val="30.70"/>
            <filter val="6.20"/>
            <filter val="21.90"/>
            <filter val="24.00"/>
            <filter val="20.40"/>
            <filter val="29.10"/>
            <filter val="28.40"/>
          </filters>
        </filterColumn>
        <sortState ref="A1:L1000">
          <sortCondition descending="1" ref="F1:F1000"/>
          <sortCondition descending="1" ref="G1:G1000"/>
          <sortCondition descending="1" ref="C1:C1000"/>
          <sortCondition descending="1" ref="H1:H1000"/>
          <sortCondition descending="1" ref="I1:I1000"/>
          <sortCondition descending="1" ref="J1:J1000"/>
        </sortState>
      </autoFilter>
    </customSheetView>
    <customSheetView guid="{C324CF18-2704-49E9-BA40-EE2F989981AC}" filter="1" showAutoFilter="1">
      <autoFilter ref="$A$1:$L$135">
        <filterColumn colId="0">
          <filters>
            <filter val="C"/>
          </filters>
        </filterColumn>
      </autoFilter>
    </customSheetView>
  </customSheetViews>
  <conditionalFormatting sqref="H1:H1000">
    <cfRule type="cellIs" dxfId="0" priority="1" operator="between">
      <formula>21</formula>
      <formula>29.99</formula>
    </cfRule>
  </conditionalFormatting>
  <conditionalFormatting sqref="N8">
    <cfRule type="cellIs" dxfId="1" priority="2" operator="greaterThanOrEqual">
      <formula>30</formula>
    </cfRule>
  </conditionalFormatting>
  <conditionalFormatting sqref="H1:H1000">
    <cfRule type="cellIs" dxfId="1" priority="3" operator="greaterThanOrEqual">
      <formula>30</formula>
    </cfRule>
  </conditionalFormatting>
  <conditionalFormatting sqref="H1:H1000">
    <cfRule type="cellIs" dxfId="2" priority="4" operator="between">
      <formula>15</formula>
      <formula>20.99</formula>
    </cfRule>
  </conditionalFormatting>
  <conditionalFormatting sqref="H1:H1000">
    <cfRule type="cellIs" dxfId="3" priority="5" operator="lessThan">
      <formula>15</formula>
    </cfRule>
  </conditionalFormatting>
  <conditionalFormatting sqref="H1:H1000">
    <cfRule type="containsText" dxfId="4" priority="6" operator="containsText" text="NOT ACTIVE">
      <formula>NOT(ISERROR(SEARCH(("NOT ACTIVE"),(H1))))</formula>
    </cfRule>
  </conditionalFormatting>
  <conditionalFormatting sqref="I1:I1000">
    <cfRule type="cellIs" dxfId="3" priority="7" operator="lessThan">
      <formula>40</formula>
    </cfRule>
  </conditionalFormatting>
  <conditionalFormatting sqref="I1:I1000">
    <cfRule type="cellIs" dxfId="5" priority="8" operator="between">
      <formula>40</formula>
      <formula>43</formula>
    </cfRule>
  </conditionalFormatting>
  <conditionalFormatting sqref="I1:I1000">
    <cfRule type="cellIs" dxfId="2" priority="9" operator="between">
      <formula>43</formula>
      <formula>46</formula>
    </cfRule>
  </conditionalFormatting>
  <conditionalFormatting sqref="I1:I1000">
    <cfRule type="cellIs" dxfId="6" priority="10" operator="between">
      <formula>46</formula>
      <formula>50</formula>
    </cfRule>
  </conditionalFormatting>
  <conditionalFormatting sqref="I1:I1000">
    <cfRule type="cellIs" dxfId="1" priority="11" operator="greaterThan">
      <formula>50</formula>
    </cfRule>
  </conditionalFormatting>
  <conditionalFormatting sqref="J1:J1000">
    <cfRule type="cellIs" dxfId="3" priority="12" operator="lessThan">
      <formula>30</formula>
    </cfRule>
  </conditionalFormatting>
  <conditionalFormatting sqref="J1:J1000">
    <cfRule type="cellIs" dxfId="5" priority="13" operator="between">
      <formula>30</formula>
      <formula>35</formula>
    </cfRule>
  </conditionalFormatting>
  <conditionalFormatting sqref="J1:J1000">
    <cfRule type="cellIs" dxfId="2" priority="14" operator="between">
      <formula>35</formula>
      <formula>40</formula>
    </cfRule>
  </conditionalFormatting>
  <conditionalFormatting sqref="J1:J1000">
    <cfRule type="cellIs" dxfId="6" priority="15" operator="between">
      <formula>40</formula>
      <formula>50</formula>
    </cfRule>
  </conditionalFormatting>
  <conditionalFormatting sqref="J1:J1000">
    <cfRule type="cellIs" dxfId="1" priority="16" operator="greaterThan">
      <formula>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19.29"/>
  </cols>
  <sheetData>
    <row r="1" ht="15.0" customHeight="1">
      <c r="A1" s="1" t="s">
        <v>229</v>
      </c>
      <c r="B1" s="1" t="s">
        <v>12</v>
      </c>
      <c r="C1" s="1" t="s">
        <v>32</v>
      </c>
      <c r="D1" s="1" t="s">
        <v>38</v>
      </c>
      <c r="E1" s="1" t="s">
        <v>16</v>
      </c>
      <c r="F1" s="1" t="s">
        <v>42</v>
      </c>
      <c r="G1" s="5"/>
      <c r="H1" s="14"/>
      <c r="I1" s="15"/>
      <c r="J1" s="15"/>
      <c r="K1" s="14"/>
      <c r="L1" s="14"/>
      <c r="M1" s="5"/>
      <c r="N1" s="5"/>
      <c r="O1" s="5"/>
      <c r="P1" s="5"/>
      <c r="Q1" s="5"/>
    </row>
    <row r="2">
      <c r="A2" s="1" t="s">
        <v>21</v>
      </c>
      <c r="B2" s="16">
        <v>61.22</v>
      </c>
      <c r="C2" s="16">
        <v>46.49</v>
      </c>
      <c r="D2" s="16">
        <v>48.15</v>
      </c>
      <c r="E2" s="16">
        <v>47.32</v>
      </c>
      <c r="F2" s="16">
        <v>53.36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6"/>
    </row>
    <row r="3">
      <c r="A3" s="1" t="s">
        <v>18</v>
      </c>
      <c r="B3" s="16">
        <v>57.33</v>
      </c>
      <c r="C3" s="16">
        <v>30.06</v>
      </c>
      <c r="D3" s="16">
        <v>48.29</v>
      </c>
      <c r="E3" s="16">
        <v>45.35</v>
      </c>
      <c r="F3" s="16">
        <v>51.47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6"/>
    </row>
    <row r="4">
      <c r="A4" s="1" t="s">
        <v>230</v>
      </c>
      <c r="B4" s="16">
        <v>56.93</v>
      </c>
      <c r="C4" s="16">
        <v>34.46</v>
      </c>
      <c r="D4" s="16">
        <v>35.19</v>
      </c>
      <c r="E4" s="16">
        <v>40.22</v>
      </c>
      <c r="F4" s="16">
        <v>53.13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6"/>
    </row>
    <row r="5">
      <c r="A5" s="1" t="s">
        <v>231</v>
      </c>
      <c r="B5" s="16">
        <v>56.34</v>
      </c>
      <c r="C5" s="16">
        <v>44.83</v>
      </c>
      <c r="D5" s="16">
        <v>48.75</v>
      </c>
      <c r="E5" s="16">
        <v>54.83</v>
      </c>
      <c r="F5" s="16">
        <v>54.85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6"/>
    </row>
    <row r="6">
      <c r="A6" s="1" t="s">
        <v>22</v>
      </c>
      <c r="B6" s="16">
        <v>55.84</v>
      </c>
      <c r="C6" s="16">
        <v>45.77</v>
      </c>
      <c r="D6" s="16">
        <v>49.36</v>
      </c>
      <c r="E6" s="16">
        <v>44.26</v>
      </c>
      <c r="F6" s="16">
        <v>59.84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6"/>
    </row>
    <row r="7">
      <c r="A7" s="1" t="s">
        <v>232</v>
      </c>
      <c r="B7" s="16">
        <v>52.37</v>
      </c>
      <c r="C7" s="16">
        <v>35.21</v>
      </c>
      <c r="D7" s="16">
        <v>46.46</v>
      </c>
      <c r="E7" s="16">
        <v>45.48</v>
      </c>
      <c r="F7" s="16">
        <v>51.1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6"/>
    </row>
    <row r="8">
      <c r="A8" s="1" t="s">
        <v>24</v>
      </c>
      <c r="B8" s="16">
        <v>52.25</v>
      </c>
      <c r="C8" s="16">
        <v>41.3</v>
      </c>
      <c r="D8" s="16">
        <v>36.98</v>
      </c>
      <c r="E8" s="16">
        <v>48.67</v>
      </c>
      <c r="F8" s="16">
        <v>42.76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6"/>
    </row>
    <row r="9">
      <c r="A9" s="1" t="s">
        <v>27</v>
      </c>
      <c r="B9" s="16">
        <v>51.23</v>
      </c>
      <c r="C9" s="16">
        <v>39.55</v>
      </c>
      <c r="D9" s="16">
        <v>38.97</v>
      </c>
      <c r="E9" s="16">
        <v>48.4</v>
      </c>
      <c r="F9" s="16">
        <v>58.41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6"/>
    </row>
    <row r="10">
      <c r="A10" s="1" t="s">
        <v>31</v>
      </c>
      <c r="B10" s="16">
        <v>51.07</v>
      </c>
      <c r="C10" s="16">
        <v>49.69</v>
      </c>
      <c r="D10" s="16">
        <v>42.62</v>
      </c>
      <c r="E10" s="16">
        <v>54.58</v>
      </c>
      <c r="F10" s="16">
        <v>55.55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/>
    </row>
    <row r="11">
      <c r="A11" s="1" t="s">
        <v>233</v>
      </c>
      <c r="B11" s="16">
        <v>51.0</v>
      </c>
      <c r="C11" s="16">
        <v>34.23</v>
      </c>
      <c r="D11" s="16">
        <v>41.75</v>
      </c>
      <c r="E11" s="16">
        <v>42.91</v>
      </c>
      <c r="F11" s="16">
        <v>51.45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6"/>
    </row>
    <row r="12">
      <c r="A12" s="1" t="s">
        <v>234</v>
      </c>
      <c r="B12" s="16">
        <v>49.92</v>
      </c>
      <c r="C12" s="16">
        <v>41.7</v>
      </c>
      <c r="D12" s="16">
        <v>43.93</v>
      </c>
      <c r="E12" s="16">
        <v>50.14</v>
      </c>
      <c r="F12" s="16">
        <v>63.19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6"/>
    </row>
    <row r="13">
      <c r="A13" s="1" t="s">
        <v>235</v>
      </c>
      <c r="B13" s="16">
        <v>49.85</v>
      </c>
      <c r="C13" s="16">
        <v>35.01</v>
      </c>
      <c r="D13" s="16">
        <v>51.28</v>
      </c>
      <c r="E13" s="16">
        <v>36.65</v>
      </c>
      <c r="F13" s="16">
        <v>49.99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6"/>
    </row>
    <row r="14">
      <c r="A14" s="1" t="s">
        <v>28</v>
      </c>
      <c r="B14" s="16">
        <v>49.75</v>
      </c>
      <c r="C14" s="16">
        <v>42.5</v>
      </c>
      <c r="D14" s="16">
        <v>38.5</v>
      </c>
      <c r="E14" s="16">
        <v>39.92</v>
      </c>
      <c r="F14" s="16">
        <v>53.95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6"/>
    </row>
    <row r="15">
      <c r="A15" s="1" t="s">
        <v>236</v>
      </c>
      <c r="B15" s="16">
        <v>49.5</v>
      </c>
      <c r="C15" s="16">
        <v>35.81</v>
      </c>
      <c r="D15" s="16">
        <v>36.98</v>
      </c>
      <c r="E15" s="16">
        <v>34.92</v>
      </c>
      <c r="F15" s="16">
        <v>44.85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6"/>
    </row>
    <row r="16">
      <c r="A16" s="1" t="s">
        <v>15</v>
      </c>
      <c r="B16" s="16">
        <v>49.13</v>
      </c>
      <c r="C16" s="16">
        <v>48.33</v>
      </c>
      <c r="D16" s="16">
        <v>35.5</v>
      </c>
      <c r="E16" s="16">
        <v>45.73</v>
      </c>
      <c r="F16" s="16">
        <v>53.39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6"/>
    </row>
    <row r="17">
      <c r="A17" s="1" t="s">
        <v>237</v>
      </c>
      <c r="B17" s="16">
        <v>49.07</v>
      </c>
      <c r="C17" s="16">
        <v>36.19</v>
      </c>
      <c r="D17" s="16">
        <v>45.0</v>
      </c>
      <c r="E17" s="16">
        <v>49.75</v>
      </c>
      <c r="F17" s="16">
        <v>50.0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6"/>
    </row>
    <row r="18">
      <c r="A18" s="1" t="s">
        <v>238</v>
      </c>
      <c r="B18" s="16">
        <v>48.53</v>
      </c>
      <c r="C18" s="16">
        <v>34.92</v>
      </c>
      <c r="D18" s="16">
        <v>46.96</v>
      </c>
      <c r="E18" s="16">
        <v>44.89</v>
      </c>
      <c r="F18" s="16">
        <v>45.94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6"/>
    </row>
    <row r="19">
      <c r="A19" s="1" t="s">
        <v>14</v>
      </c>
      <c r="B19" s="16">
        <v>48.13</v>
      </c>
      <c r="C19" s="16">
        <v>44.13</v>
      </c>
      <c r="D19" s="16">
        <v>30.63</v>
      </c>
      <c r="E19" s="16">
        <v>49.34</v>
      </c>
      <c r="F19" s="16">
        <v>65.34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6"/>
    </row>
    <row r="20">
      <c r="A20" s="1" t="s">
        <v>239</v>
      </c>
      <c r="B20" s="16">
        <v>45.03</v>
      </c>
      <c r="C20" s="16">
        <v>40.43</v>
      </c>
      <c r="D20" s="16">
        <v>45.15</v>
      </c>
      <c r="E20" s="16">
        <v>42.98</v>
      </c>
      <c r="F20" s="16">
        <v>54.03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6"/>
    </row>
    <row r="21">
      <c r="A21" s="1" t="s">
        <v>19</v>
      </c>
      <c r="B21" s="16">
        <v>44.74</v>
      </c>
      <c r="C21" s="16">
        <v>41.03</v>
      </c>
      <c r="D21" s="16">
        <v>40.5</v>
      </c>
      <c r="E21" s="16">
        <v>44.43</v>
      </c>
      <c r="F21" s="16">
        <v>65.2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6"/>
    </row>
    <row r="22">
      <c r="A22" s="1" t="s">
        <v>240</v>
      </c>
      <c r="B22" s="16">
        <v>44.43</v>
      </c>
      <c r="C22" s="16">
        <v>42.42</v>
      </c>
      <c r="D22" s="16">
        <v>31.64</v>
      </c>
      <c r="E22" s="16">
        <v>46.06</v>
      </c>
      <c r="F22" s="16">
        <v>54.11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6"/>
    </row>
    <row r="23">
      <c r="A23" s="1" t="s">
        <v>241</v>
      </c>
      <c r="B23" s="16">
        <v>44.13</v>
      </c>
      <c r="C23" s="16">
        <v>41.31</v>
      </c>
      <c r="D23" s="16">
        <v>37.59</v>
      </c>
      <c r="E23" s="16">
        <v>36.81</v>
      </c>
      <c r="F23" s="16">
        <v>60.18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6"/>
    </row>
    <row r="24">
      <c r="A24" s="1" t="s">
        <v>242</v>
      </c>
      <c r="B24" s="16">
        <v>43.38</v>
      </c>
      <c r="C24" s="16">
        <v>44.23</v>
      </c>
      <c r="D24" s="16">
        <v>34.89</v>
      </c>
      <c r="E24" s="16">
        <v>49.07</v>
      </c>
      <c r="F24" s="16">
        <v>51.1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6"/>
    </row>
    <row r="25">
      <c r="A25" s="1" t="s">
        <v>243</v>
      </c>
      <c r="B25" s="16">
        <v>43.26</v>
      </c>
      <c r="C25" s="16">
        <v>41.46</v>
      </c>
      <c r="D25" s="16">
        <v>43.57</v>
      </c>
      <c r="E25" s="16">
        <v>40.18</v>
      </c>
      <c r="F25" s="16">
        <v>58.08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6"/>
    </row>
    <row r="26">
      <c r="A26" s="1" t="s">
        <v>244</v>
      </c>
      <c r="B26" s="16">
        <v>41.7</v>
      </c>
      <c r="C26" s="16">
        <v>37.7</v>
      </c>
      <c r="D26" s="16">
        <v>46.62</v>
      </c>
      <c r="E26" s="16">
        <v>47.01</v>
      </c>
      <c r="F26" s="16">
        <v>59.7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6"/>
    </row>
    <row r="27">
      <c r="A27" s="1" t="s">
        <v>25</v>
      </c>
      <c r="B27" s="16">
        <v>40.5</v>
      </c>
      <c r="C27" s="16">
        <v>48.99</v>
      </c>
      <c r="D27" s="16">
        <v>40.53</v>
      </c>
      <c r="E27" s="16">
        <v>36.14</v>
      </c>
      <c r="F27" s="16">
        <v>52.94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6"/>
    </row>
    <row r="28">
      <c r="A28" s="1" t="s">
        <v>245</v>
      </c>
      <c r="B28" s="16">
        <v>40.35</v>
      </c>
      <c r="C28" s="16">
        <v>39.48</v>
      </c>
      <c r="D28" s="16">
        <v>45.81</v>
      </c>
      <c r="E28" s="16">
        <v>56.35</v>
      </c>
      <c r="F28" s="16">
        <v>62.78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6"/>
    </row>
    <row r="29">
      <c r="A29" s="1" t="s">
        <v>30</v>
      </c>
      <c r="B29" s="16">
        <v>40.23</v>
      </c>
      <c r="C29" s="16">
        <v>37.64</v>
      </c>
      <c r="D29" s="16">
        <v>42.78</v>
      </c>
      <c r="E29" s="16">
        <v>51.3</v>
      </c>
      <c r="F29" s="16">
        <v>46.93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6"/>
    </row>
    <row r="30">
      <c r="A30" s="1" t="s">
        <v>246</v>
      </c>
      <c r="B30" s="16">
        <v>39.38</v>
      </c>
      <c r="C30" s="16">
        <v>37.11</v>
      </c>
      <c r="D30" s="16">
        <v>42.54</v>
      </c>
      <c r="E30" s="16">
        <v>49.66</v>
      </c>
      <c r="F30" s="16">
        <v>61.01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6"/>
    </row>
    <row r="31">
      <c r="A31" s="1" t="s">
        <v>247</v>
      </c>
      <c r="B31" s="16">
        <v>38.27</v>
      </c>
      <c r="C31" s="16">
        <v>34.86</v>
      </c>
      <c r="D31" s="16">
        <v>36.5</v>
      </c>
      <c r="E31" s="16">
        <v>43.93</v>
      </c>
      <c r="F31" s="16">
        <v>55.94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6"/>
    </row>
    <row r="32">
      <c r="B32" s="16"/>
      <c r="C32" s="16"/>
      <c r="D32" s="16"/>
      <c r="E32" s="16"/>
      <c r="F32" s="16"/>
      <c r="H32" s="16"/>
    </row>
  </sheetData>
  <customSheetViews>
    <customSheetView guid="{B2053525-1D87-4855-A597-6C96D0FF6980}" filter="1" showAutoFilter="1">
      <autoFilter ref="$A$1:$F$32">
        <filterColumn colId="0">
          <filters>
            <filter val="ORL"/>
            <filter val="WAS"/>
            <filter val="PHI"/>
            <filter val="PHO"/>
            <filter val="DEN"/>
            <filter val="LAC"/>
            <filter val="ATL"/>
            <filter val="CHA"/>
          </filters>
        </filterColumn>
        <sortState ref="A1:F32">
          <sortCondition descending="1" ref="B1:B32"/>
          <sortCondition descending="1" ref="E1:E32"/>
          <sortCondition descending="1" ref="F1:F32"/>
          <sortCondition descending="1" ref="D1:D32"/>
          <sortCondition descending="1" ref="C1:C32"/>
          <sortCondition ref="A1:A32"/>
        </sortState>
      </autoFilter>
    </customSheetView>
  </customSheetViews>
  <conditionalFormatting sqref="H3">
    <cfRule type="notContainsBlanks" dxfId="7" priority="1">
      <formula>LEN(TRIM(H3))&gt;0</formula>
    </cfRule>
  </conditionalFormatting>
  <conditionalFormatting sqref="I16">
    <cfRule type="notContainsBlanks" dxfId="7" priority="2">
      <formula>LEN(TRIM(I16))&gt;0</formula>
    </cfRule>
  </conditionalFormatting>
  <conditionalFormatting sqref="B2:F31">
    <cfRule type="cellIs" dxfId="3" priority="3" operator="lessThan">
      <formula>40</formula>
    </cfRule>
  </conditionalFormatting>
  <conditionalFormatting sqref="B2:F31">
    <cfRule type="cellIs" dxfId="8" priority="4" operator="between">
      <formula>40</formula>
      <formula>43</formula>
    </cfRule>
  </conditionalFormatting>
  <conditionalFormatting sqref="B2:F31">
    <cfRule type="cellIs" dxfId="2" priority="5" operator="between">
      <formula>43</formula>
      <formula>46</formula>
    </cfRule>
  </conditionalFormatting>
  <conditionalFormatting sqref="B2:F31">
    <cfRule type="cellIs" dxfId="6" priority="6" operator="between">
      <formula>46</formula>
      <formula>50</formula>
    </cfRule>
  </conditionalFormatting>
  <conditionalFormatting sqref="B2:F31">
    <cfRule type="cellIs" dxfId="9" priority="7" operator="greaterThan">
      <formula>50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5.71"/>
    <col customWidth="1" min="3" max="3" width="1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Q1" s="16"/>
    </row>
    <row r="2">
      <c r="A2" s="1" t="s">
        <v>12</v>
      </c>
      <c r="B2" s="1" t="s">
        <v>13</v>
      </c>
      <c r="C2" s="2">
        <v>12400.0</v>
      </c>
      <c r="D2" s="1" t="s">
        <v>14</v>
      </c>
      <c r="E2" s="1" t="s">
        <v>15</v>
      </c>
      <c r="Q2" s="16"/>
    </row>
    <row r="3">
      <c r="A3" s="1" t="s">
        <v>16</v>
      </c>
      <c r="B3" s="1" t="s">
        <v>17</v>
      </c>
      <c r="C3" s="2">
        <v>11300.0</v>
      </c>
      <c r="D3" s="1" t="s">
        <v>18</v>
      </c>
      <c r="E3" s="1" t="s">
        <v>19</v>
      </c>
      <c r="Q3" s="16"/>
    </row>
    <row r="4">
      <c r="A4" s="1" t="s">
        <v>16</v>
      </c>
      <c r="B4" s="1" t="s">
        <v>20</v>
      </c>
      <c r="C4" s="2">
        <v>10700.0</v>
      </c>
      <c r="D4" s="1" t="s">
        <v>21</v>
      </c>
      <c r="E4" s="1" t="s">
        <v>22</v>
      </c>
      <c r="Q4" s="16"/>
    </row>
    <row r="5">
      <c r="A5" s="1" t="s">
        <v>12</v>
      </c>
      <c r="B5" s="1" t="s">
        <v>23</v>
      </c>
      <c r="C5" s="2">
        <v>10300.0</v>
      </c>
      <c r="D5" s="1" t="s">
        <v>24</v>
      </c>
      <c r="E5" s="1" t="s">
        <v>25</v>
      </c>
      <c r="Q5" s="16"/>
    </row>
    <row r="6">
      <c r="A6" s="1" t="s">
        <v>16</v>
      </c>
      <c r="B6" s="1" t="s">
        <v>26</v>
      </c>
      <c r="C6" s="2">
        <v>9600.0</v>
      </c>
      <c r="D6" s="1" t="s">
        <v>27</v>
      </c>
      <c r="E6" s="1" t="s">
        <v>28</v>
      </c>
      <c r="Q6" s="16"/>
    </row>
    <row r="7">
      <c r="A7" s="1" t="s">
        <v>12</v>
      </c>
      <c r="B7" s="1" t="s">
        <v>29</v>
      </c>
      <c r="C7" s="2">
        <v>9500.0</v>
      </c>
      <c r="D7" s="1" t="s">
        <v>30</v>
      </c>
      <c r="E7" s="1" t="s">
        <v>31</v>
      </c>
      <c r="Q7" s="16"/>
    </row>
    <row r="8">
      <c r="A8" s="1" t="s">
        <v>32</v>
      </c>
      <c r="B8" s="1" t="s">
        <v>33</v>
      </c>
      <c r="C8" s="2">
        <v>9200.0</v>
      </c>
      <c r="D8" s="1" t="s">
        <v>14</v>
      </c>
      <c r="E8" s="1" t="s">
        <v>15</v>
      </c>
      <c r="Q8" s="16"/>
    </row>
    <row r="9">
      <c r="A9" s="1" t="s">
        <v>32</v>
      </c>
      <c r="B9" s="1" t="s">
        <v>34</v>
      </c>
      <c r="C9" s="2">
        <v>9000.0</v>
      </c>
      <c r="D9" s="1" t="s">
        <v>25</v>
      </c>
      <c r="E9" s="1" t="s">
        <v>24</v>
      </c>
      <c r="Q9" s="16"/>
    </row>
    <row r="10">
      <c r="A10" s="1" t="s">
        <v>32</v>
      </c>
      <c r="B10" s="1" t="s">
        <v>35</v>
      </c>
      <c r="C10" s="2">
        <v>8800.0</v>
      </c>
      <c r="D10" s="1" t="s">
        <v>21</v>
      </c>
      <c r="E10" s="1" t="s">
        <v>22</v>
      </c>
      <c r="Q10" s="16"/>
    </row>
    <row r="11">
      <c r="A11" s="1" t="s">
        <v>16</v>
      </c>
      <c r="B11" s="1" t="s">
        <v>36</v>
      </c>
      <c r="C11" s="2">
        <v>8500.0</v>
      </c>
      <c r="D11" s="1" t="s">
        <v>31</v>
      </c>
      <c r="E11" s="1" t="s">
        <v>30</v>
      </c>
      <c r="Q11" s="16"/>
    </row>
    <row r="12">
      <c r="A12" s="1" t="s">
        <v>12</v>
      </c>
      <c r="B12" s="1" t="s">
        <v>37</v>
      </c>
      <c r="C12" s="2">
        <v>8400.0</v>
      </c>
      <c r="D12" s="1" t="s">
        <v>15</v>
      </c>
      <c r="E12" s="1" t="s">
        <v>14</v>
      </c>
      <c r="Q12" s="16"/>
    </row>
    <row r="13">
      <c r="A13" s="1" t="s">
        <v>38</v>
      </c>
      <c r="B13" s="1" t="s">
        <v>39</v>
      </c>
      <c r="C13" s="2">
        <v>8300.0</v>
      </c>
      <c r="D13" s="1" t="s">
        <v>18</v>
      </c>
      <c r="E13" s="1" t="s">
        <v>19</v>
      </c>
      <c r="Q13" s="16"/>
    </row>
    <row r="14">
      <c r="A14" s="1" t="s">
        <v>12</v>
      </c>
      <c r="B14" s="1" t="s">
        <v>40</v>
      </c>
      <c r="C14" s="2">
        <v>8200.0</v>
      </c>
      <c r="D14" s="1" t="s">
        <v>18</v>
      </c>
      <c r="E14" s="1" t="s">
        <v>19</v>
      </c>
      <c r="Q14" s="16"/>
    </row>
    <row r="15">
      <c r="A15" s="1" t="s">
        <v>32</v>
      </c>
      <c r="B15" s="1" t="s">
        <v>41</v>
      </c>
      <c r="C15" s="2">
        <v>8200.0</v>
      </c>
      <c r="D15" s="1" t="s">
        <v>19</v>
      </c>
      <c r="E15" s="1" t="s">
        <v>18</v>
      </c>
      <c r="Q15" s="16"/>
    </row>
    <row r="16">
      <c r="A16" s="1" t="s">
        <v>42</v>
      </c>
      <c r="B16" s="1" t="s">
        <v>43</v>
      </c>
      <c r="C16" s="2">
        <v>8100.0</v>
      </c>
      <c r="D16" s="1" t="s">
        <v>31</v>
      </c>
      <c r="E16" s="1" t="s">
        <v>30</v>
      </c>
      <c r="Q16" s="16"/>
    </row>
    <row r="17">
      <c r="A17" s="1" t="s">
        <v>42</v>
      </c>
      <c r="B17" s="1" t="s">
        <v>44</v>
      </c>
      <c r="C17" s="2">
        <v>8000.0</v>
      </c>
      <c r="D17" s="1" t="s">
        <v>28</v>
      </c>
      <c r="E17" s="1" t="s">
        <v>27</v>
      </c>
      <c r="Q17" s="16"/>
    </row>
    <row r="18">
      <c r="A18" s="1" t="s">
        <v>12</v>
      </c>
      <c r="B18" s="1" t="s">
        <v>45</v>
      </c>
      <c r="C18" s="2">
        <v>8000.0</v>
      </c>
      <c r="D18" s="1" t="s">
        <v>21</v>
      </c>
      <c r="E18" s="1" t="s">
        <v>22</v>
      </c>
      <c r="Q18" s="16"/>
    </row>
    <row r="19">
      <c r="A19" s="1" t="s">
        <v>42</v>
      </c>
      <c r="B19" s="1" t="s">
        <v>46</v>
      </c>
      <c r="C19" s="2">
        <v>7900.0</v>
      </c>
      <c r="D19" s="1" t="s">
        <v>25</v>
      </c>
      <c r="E19" s="1" t="s">
        <v>24</v>
      </c>
      <c r="Q19" s="16"/>
    </row>
    <row r="20">
      <c r="A20" s="1" t="s">
        <v>12</v>
      </c>
      <c r="B20" s="1" t="s">
        <v>47</v>
      </c>
      <c r="C20" s="2">
        <v>7900.0</v>
      </c>
      <c r="D20" s="1" t="s">
        <v>27</v>
      </c>
      <c r="E20" s="1" t="s">
        <v>28</v>
      </c>
      <c r="Q20" s="16"/>
    </row>
    <row r="21">
      <c r="A21" s="1" t="s">
        <v>16</v>
      </c>
      <c r="B21" s="1" t="s">
        <v>48</v>
      </c>
      <c r="C21" s="2">
        <v>7900.0</v>
      </c>
      <c r="D21" s="1" t="s">
        <v>24</v>
      </c>
      <c r="E21" s="1" t="s">
        <v>25</v>
      </c>
      <c r="Q21" s="16"/>
    </row>
    <row r="22">
      <c r="A22" s="1" t="s">
        <v>42</v>
      </c>
      <c r="B22" s="1" t="s">
        <v>49</v>
      </c>
      <c r="C22" s="2">
        <v>7700.0</v>
      </c>
      <c r="D22" s="1" t="s">
        <v>15</v>
      </c>
      <c r="E22" s="1" t="s">
        <v>14</v>
      </c>
      <c r="Q22" s="16"/>
    </row>
    <row r="23">
      <c r="A23" s="1" t="s">
        <v>32</v>
      </c>
      <c r="B23" s="1" t="s">
        <v>50</v>
      </c>
      <c r="C23" s="2">
        <v>7600.0</v>
      </c>
      <c r="D23" s="1" t="s">
        <v>30</v>
      </c>
      <c r="E23" s="1" t="s">
        <v>31</v>
      </c>
      <c r="Q23" s="16"/>
    </row>
    <row r="24">
      <c r="A24" s="1" t="s">
        <v>42</v>
      </c>
      <c r="B24" s="1" t="s">
        <v>51</v>
      </c>
      <c r="C24" s="2">
        <v>7600.0</v>
      </c>
      <c r="D24" s="1" t="s">
        <v>30</v>
      </c>
      <c r="E24" s="1" t="s">
        <v>31</v>
      </c>
      <c r="Q24" s="16"/>
    </row>
    <row r="25">
      <c r="A25" s="1" t="s">
        <v>12</v>
      </c>
      <c r="B25" s="1" t="s">
        <v>52</v>
      </c>
      <c r="C25" s="2">
        <v>7600.0</v>
      </c>
      <c r="D25" s="1" t="s">
        <v>25</v>
      </c>
      <c r="E25" s="1" t="s">
        <v>24</v>
      </c>
      <c r="Q25" s="16"/>
    </row>
    <row r="26">
      <c r="A26" s="1" t="s">
        <v>32</v>
      </c>
      <c r="B26" s="1" t="s">
        <v>53</v>
      </c>
      <c r="C26" s="2">
        <v>7500.0</v>
      </c>
      <c r="D26" s="1" t="s">
        <v>22</v>
      </c>
      <c r="E26" s="1" t="s">
        <v>21</v>
      </c>
      <c r="Q26" s="16"/>
    </row>
    <row r="27">
      <c r="A27" s="1" t="s">
        <v>38</v>
      </c>
      <c r="B27" s="1" t="s">
        <v>54</v>
      </c>
      <c r="C27" s="2">
        <v>7400.0</v>
      </c>
      <c r="D27" s="1" t="s">
        <v>27</v>
      </c>
      <c r="E27" s="1" t="s">
        <v>28</v>
      </c>
      <c r="Q27" s="16"/>
    </row>
    <row r="28">
      <c r="A28" s="1" t="s">
        <v>12</v>
      </c>
      <c r="B28" s="1" t="s">
        <v>55</v>
      </c>
      <c r="C28" s="2">
        <v>7400.0</v>
      </c>
      <c r="D28" s="1" t="s">
        <v>19</v>
      </c>
      <c r="E28" s="1" t="s">
        <v>18</v>
      </c>
      <c r="Q28" s="16"/>
    </row>
    <row r="29">
      <c r="A29" s="1" t="s">
        <v>32</v>
      </c>
      <c r="B29" s="1" t="s">
        <v>56</v>
      </c>
      <c r="C29" s="2">
        <v>7400.0</v>
      </c>
      <c r="D29" s="1" t="s">
        <v>25</v>
      </c>
      <c r="E29" s="1" t="s">
        <v>24</v>
      </c>
      <c r="Q29" s="16"/>
    </row>
    <row r="30">
      <c r="A30" s="1" t="s">
        <v>12</v>
      </c>
      <c r="B30" s="1" t="s">
        <v>57</v>
      </c>
      <c r="C30" s="2">
        <v>7300.0</v>
      </c>
      <c r="D30" s="1" t="s">
        <v>22</v>
      </c>
      <c r="E30" s="1" t="s">
        <v>21</v>
      </c>
      <c r="Q30" s="16"/>
    </row>
    <row r="31">
      <c r="A31" s="1" t="s">
        <v>38</v>
      </c>
      <c r="B31" s="1" t="s">
        <v>58</v>
      </c>
      <c r="C31" s="2">
        <v>7300.0</v>
      </c>
      <c r="D31" s="1" t="s">
        <v>15</v>
      </c>
      <c r="E31" s="1" t="s">
        <v>14</v>
      </c>
      <c r="Q31" s="16"/>
    </row>
    <row r="32">
      <c r="A32" s="1" t="s">
        <v>32</v>
      </c>
      <c r="B32" s="1" t="s">
        <v>59</v>
      </c>
      <c r="C32" s="2">
        <v>7300.0</v>
      </c>
      <c r="D32" s="1" t="s">
        <v>24</v>
      </c>
      <c r="E32" s="1" t="s">
        <v>25</v>
      </c>
      <c r="Q32" s="16"/>
    </row>
    <row r="33">
      <c r="A33" s="1" t="s">
        <v>12</v>
      </c>
      <c r="B33" s="1" t="s">
        <v>60</v>
      </c>
      <c r="C33" s="2">
        <v>7200.0</v>
      </c>
      <c r="D33" s="1" t="s">
        <v>28</v>
      </c>
      <c r="E33" s="1" t="s">
        <v>27</v>
      </c>
      <c r="Q33" s="16"/>
    </row>
    <row r="34">
      <c r="A34" s="1" t="s">
        <v>16</v>
      </c>
      <c r="B34" s="1" t="s">
        <v>61</v>
      </c>
      <c r="C34" s="2">
        <v>7100.0</v>
      </c>
      <c r="D34" s="1" t="s">
        <v>31</v>
      </c>
      <c r="E34" s="1" t="s">
        <v>30</v>
      </c>
      <c r="Q34" s="16"/>
    </row>
    <row r="35">
      <c r="A35" s="1" t="s">
        <v>32</v>
      </c>
      <c r="B35" s="1" t="s">
        <v>62</v>
      </c>
      <c r="C35" s="2">
        <v>6800.0</v>
      </c>
      <c r="D35" s="1" t="s">
        <v>27</v>
      </c>
      <c r="E35" s="1" t="s">
        <v>28</v>
      </c>
      <c r="Q35" s="16"/>
    </row>
    <row r="36">
      <c r="A36" s="1" t="s">
        <v>42</v>
      </c>
      <c r="B36" s="1" t="s">
        <v>63</v>
      </c>
      <c r="C36" s="2">
        <v>6800.0</v>
      </c>
      <c r="D36" s="1" t="s">
        <v>22</v>
      </c>
      <c r="E36" s="1" t="s">
        <v>21</v>
      </c>
      <c r="Q36" s="16"/>
    </row>
    <row r="37">
      <c r="A37" s="1" t="s">
        <v>12</v>
      </c>
      <c r="B37" s="1" t="s">
        <v>64</v>
      </c>
      <c r="C37" s="2">
        <v>6400.0</v>
      </c>
      <c r="D37" s="1" t="s">
        <v>19</v>
      </c>
      <c r="E37" s="1" t="s">
        <v>18</v>
      </c>
      <c r="Q37" s="16"/>
    </row>
    <row r="38">
      <c r="A38" s="1" t="s">
        <v>16</v>
      </c>
      <c r="B38" s="1" t="s">
        <v>65</v>
      </c>
      <c r="C38" s="2">
        <v>6400.0</v>
      </c>
      <c r="D38" s="1" t="s">
        <v>15</v>
      </c>
      <c r="E38" s="1" t="s">
        <v>14</v>
      </c>
      <c r="Q38" s="16"/>
    </row>
    <row r="39">
      <c r="A39" s="1" t="s">
        <v>38</v>
      </c>
      <c r="B39" s="1" t="s">
        <v>66</v>
      </c>
      <c r="C39" s="2">
        <v>6400.0</v>
      </c>
      <c r="D39" s="1" t="s">
        <v>24</v>
      </c>
      <c r="E39" s="1" t="s">
        <v>25</v>
      </c>
      <c r="Q39" s="16"/>
    </row>
    <row r="40">
      <c r="A40" s="1" t="s">
        <v>38</v>
      </c>
      <c r="B40" s="1" t="s">
        <v>67</v>
      </c>
      <c r="C40" s="2">
        <v>6300.0</v>
      </c>
      <c r="D40" s="1" t="s">
        <v>15</v>
      </c>
      <c r="E40" s="1" t="s">
        <v>14</v>
      </c>
      <c r="Q40" s="16"/>
    </row>
    <row r="41">
      <c r="A41" s="1" t="s">
        <v>16</v>
      </c>
      <c r="B41" s="1" t="s">
        <v>68</v>
      </c>
      <c r="C41" s="2">
        <v>6200.0</v>
      </c>
      <c r="D41" s="1" t="s">
        <v>31</v>
      </c>
      <c r="E41" s="1" t="s">
        <v>30</v>
      </c>
      <c r="Q41" s="16"/>
    </row>
    <row r="42">
      <c r="A42" s="1" t="s">
        <v>38</v>
      </c>
      <c r="B42" s="1" t="s">
        <v>69</v>
      </c>
      <c r="C42" s="2">
        <v>6200.0</v>
      </c>
      <c r="D42" s="1" t="s">
        <v>25</v>
      </c>
      <c r="E42" s="1" t="s">
        <v>24</v>
      </c>
      <c r="Q42" s="16"/>
    </row>
    <row r="43">
      <c r="A43" s="1" t="s">
        <v>12</v>
      </c>
      <c r="B43" s="1" t="s">
        <v>70</v>
      </c>
      <c r="C43" s="2">
        <v>6200.0</v>
      </c>
      <c r="D43" s="1" t="s">
        <v>21</v>
      </c>
      <c r="E43" s="1" t="s">
        <v>22</v>
      </c>
      <c r="Q43" s="16"/>
    </row>
    <row r="44">
      <c r="A44" s="1" t="s">
        <v>32</v>
      </c>
      <c r="B44" s="1" t="s">
        <v>71</v>
      </c>
      <c r="C44" s="2">
        <v>6100.0</v>
      </c>
      <c r="D44" s="1" t="s">
        <v>27</v>
      </c>
      <c r="E44" s="1" t="s">
        <v>28</v>
      </c>
      <c r="Q44" s="16"/>
    </row>
    <row r="45">
      <c r="A45" s="1" t="s">
        <v>38</v>
      </c>
      <c r="B45" s="1" t="s">
        <v>72</v>
      </c>
      <c r="C45" s="2">
        <v>6100.0</v>
      </c>
      <c r="D45" s="1" t="s">
        <v>25</v>
      </c>
      <c r="E45" s="1" t="s">
        <v>24</v>
      </c>
      <c r="Q45" s="16"/>
    </row>
    <row r="46">
      <c r="A46" s="1" t="s">
        <v>38</v>
      </c>
      <c r="B46" s="1" t="s">
        <v>73</v>
      </c>
      <c r="C46" s="2">
        <v>6000.0</v>
      </c>
      <c r="D46" s="1" t="s">
        <v>31</v>
      </c>
      <c r="E46" s="1" t="s">
        <v>30</v>
      </c>
      <c r="Q46" s="16"/>
    </row>
    <row r="47">
      <c r="A47" s="1" t="s">
        <v>42</v>
      </c>
      <c r="B47" s="1" t="s">
        <v>74</v>
      </c>
      <c r="C47" s="2">
        <v>6000.0</v>
      </c>
      <c r="D47" s="1" t="s">
        <v>18</v>
      </c>
      <c r="E47" s="1" t="s">
        <v>19</v>
      </c>
      <c r="Q47" s="16"/>
    </row>
    <row r="48">
      <c r="A48" s="1" t="s">
        <v>16</v>
      </c>
      <c r="B48" s="1" t="s">
        <v>75</v>
      </c>
      <c r="C48" s="2">
        <v>5900.0</v>
      </c>
      <c r="D48" s="1" t="s">
        <v>22</v>
      </c>
      <c r="E48" s="1" t="s">
        <v>21</v>
      </c>
      <c r="Q48" s="16"/>
    </row>
    <row r="49">
      <c r="A49" s="1" t="s">
        <v>38</v>
      </c>
      <c r="B49" s="1" t="s">
        <v>76</v>
      </c>
      <c r="C49" s="2">
        <v>5900.0</v>
      </c>
      <c r="D49" s="1" t="s">
        <v>22</v>
      </c>
      <c r="E49" s="1" t="s">
        <v>21</v>
      </c>
      <c r="Q49" s="16"/>
    </row>
    <row r="50">
      <c r="A50" s="1" t="s">
        <v>38</v>
      </c>
      <c r="B50" s="1" t="s">
        <v>77</v>
      </c>
      <c r="C50" s="2">
        <v>5900.0</v>
      </c>
      <c r="D50" s="1" t="s">
        <v>28</v>
      </c>
      <c r="E50" s="1" t="s">
        <v>27</v>
      </c>
      <c r="Q50" s="16"/>
    </row>
    <row r="51">
      <c r="A51" s="1" t="s">
        <v>42</v>
      </c>
      <c r="B51" s="1" t="s">
        <v>78</v>
      </c>
      <c r="C51" s="2">
        <v>5900.0</v>
      </c>
      <c r="D51" s="1" t="s">
        <v>21</v>
      </c>
      <c r="E51" s="1" t="s">
        <v>22</v>
      </c>
      <c r="Q51" s="16"/>
    </row>
    <row r="52">
      <c r="A52" s="1" t="s">
        <v>38</v>
      </c>
      <c r="B52" s="1" t="s">
        <v>79</v>
      </c>
      <c r="C52" s="2">
        <v>5800.0</v>
      </c>
      <c r="D52" s="1" t="s">
        <v>21</v>
      </c>
      <c r="E52" s="1" t="s">
        <v>22</v>
      </c>
      <c r="Q52" s="16"/>
    </row>
    <row r="53">
      <c r="A53" s="1" t="s">
        <v>42</v>
      </c>
      <c r="B53" s="1" t="s">
        <v>80</v>
      </c>
      <c r="C53" s="2">
        <v>5800.0</v>
      </c>
      <c r="D53" s="1" t="s">
        <v>27</v>
      </c>
      <c r="E53" s="1" t="s">
        <v>28</v>
      </c>
      <c r="Q53" s="16"/>
    </row>
    <row r="54">
      <c r="A54" s="1" t="s">
        <v>42</v>
      </c>
      <c r="B54" s="1" t="s">
        <v>81</v>
      </c>
      <c r="C54" s="2">
        <v>5700.0</v>
      </c>
      <c r="D54" s="1" t="s">
        <v>19</v>
      </c>
      <c r="E54" s="1" t="s">
        <v>18</v>
      </c>
      <c r="Q54" s="16"/>
    </row>
    <row r="55">
      <c r="A55" s="1" t="s">
        <v>32</v>
      </c>
      <c r="B55" s="1" t="s">
        <v>82</v>
      </c>
      <c r="C55" s="2">
        <v>5700.0</v>
      </c>
      <c r="D55" s="1" t="s">
        <v>27</v>
      </c>
      <c r="E55" s="1" t="s">
        <v>28</v>
      </c>
      <c r="Q55" s="16"/>
    </row>
    <row r="56">
      <c r="A56" s="1" t="s">
        <v>38</v>
      </c>
      <c r="B56" s="1" t="s">
        <v>83</v>
      </c>
      <c r="C56" s="2">
        <v>5700.0</v>
      </c>
      <c r="D56" s="1" t="s">
        <v>14</v>
      </c>
      <c r="E56" s="1" t="s">
        <v>15</v>
      </c>
      <c r="Q56" s="16"/>
    </row>
    <row r="57">
      <c r="A57" s="1" t="s">
        <v>16</v>
      </c>
      <c r="B57" s="1" t="s">
        <v>84</v>
      </c>
      <c r="C57" s="2">
        <v>5600.0</v>
      </c>
      <c r="D57" s="1" t="s">
        <v>27</v>
      </c>
      <c r="E57" s="1" t="s">
        <v>28</v>
      </c>
      <c r="Q57" s="16"/>
    </row>
    <row r="58">
      <c r="A58" s="1" t="s">
        <v>38</v>
      </c>
      <c r="B58" s="1" t="s">
        <v>85</v>
      </c>
      <c r="C58" s="2">
        <v>5600.0</v>
      </c>
      <c r="D58" s="1" t="s">
        <v>30</v>
      </c>
      <c r="E58" s="1" t="s">
        <v>31</v>
      </c>
      <c r="Q58" s="16"/>
    </row>
    <row r="59">
      <c r="A59" s="1" t="s">
        <v>16</v>
      </c>
      <c r="B59" s="1" t="s">
        <v>86</v>
      </c>
      <c r="C59" s="2">
        <v>5500.0</v>
      </c>
      <c r="D59" s="1" t="s">
        <v>28</v>
      </c>
      <c r="E59" s="1" t="s">
        <v>27</v>
      </c>
      <c r="Q59" s="16"/>
    </row>
    <row r="60">
      <c r="A60" s="1" t="s">
        <v>16</v>
      </c>
      <c r="B60" s="1" t="s">
        <v>87</v>
      </c>
      <c r="C60" s="2">
        <v>5400.0</v>
      </c>
      <c r="D60" s="1" t="s">
        <v>24</v>
      </c>
      <c r="E60" s="1" t="s">
        <v>25</v>
      </c>
      <c r="Q60" s="16"/>
    </row>
    <row r="61">
      <c r="A61" s="1" t="s">
        <v>16</v>
      </c>
      <c r="B61" s="1" t="s">
        <v>88</v>
      </c>
      <c r="C61" s="2">
        <v>5300.0</v>
      </c>
      <c r="D61" s="1" t="s">
        <v>30</v>
      </c>
      <c r="E61" s="1" t="s">
        <v>31</v>
      </c>
      <c r="Q61" s="16"/>
    </row>
    <row r="62">
      <c r="A62" s="1" t="s">
        <v>38</v>
      </c>
      <c r="B62" s="1" t="s">
        <v>89</v>
      </c>
      <c r="C62" s="2">
        <v>5300.0</v>
      </c>
      <c r="D62" s="1" t="s">
        <v>21</v>
      </c>
      <c r="E62" s="1" t="s">
        <v>22</v>
      </c>
      <c r="Q62" s="16"/>
    </row>
    <row r="63">
      <c r="A63" s="1" t="s">
        <v>32</v>
      </c>
      <c r="B63" s="1" t="s">
        <v>90</v>
      </c>
      <c r="C63" s="2">
        <v>5200.0</v>
      </c>
      <c r="D63" s="1" t="s">
        <v>18</v>
      </c>
      <c r="E63" s="1" t="s">
        <v>19</v>
      </c>
      <c r="Q63" s="16"/>
    </row>
    <row r="64">
      <c r="A64" s="1" t="s">
        <v>32</v>
      </c>
      <c r="B64" s="1" t="s">
        <v>91</v>
      </c>
      <c r="C64" s="2">
        <v>5200.0</v>
      </c>
      <c r="D64" s="1" t="s">
        <v>15</v>
      </c>
      <c r="E64" s="1" t="s">
        <v>14</v>
      </c>
      <c r="Q64" s="16"/>
    </row>
    <row r="65">
      <c r="A65" s="1" t="s">
        <v>16</v>
      </c>
      <c r="B65" s="1" t="s">
        <v>92</v>
      </c>
      <c r="C65" s="2">
        <v>5200.0</v>
      </c>
      <c r="D65" s="1" t="s">
        <v>19</v>
      </c>
      <c r="E65" s="1" t="s">
        <v>18</v>
      </c>
      <c r="Q65" s="16"/>
    </row>
    <row r="66">
      <c r="A66" s="1" t="s">
        <v>16</v>
      </c>
      <c r="B66" s="1" t="s">
        <v>93</v>
      </c>
      <c r="C66" s="2">
        <v>5100.0</v>
      </c>
      <c r="D66" s="1" t="s">
        <v>18</v>
      </c>
      <c r="E66" s="1" t="s">
        <v>19</v>
      </c>
      <c r="Q66" s="16"/>
    </row>
    <row r="67">
      <c r="A67" s="1" t="s">
        <v>38</v>
      </c>
      <c r="B67" s="1" t="s">
        <v>94</v>
      </c>
      <c r="C67" s="2">
        <v>5100.0</v>
      </c>
      <c r="D67" s="1" t="s">
        <v>24</v>
      </c>
      <c r="E67" s="1" t="s">
        <v>25</v>
      </c>
      <c r="Q67" s="16"/>
    </row>
    <row r="68">
      <c r="A68" s="1" t="s">
        <v>32</v>
      </c>
      <c r="B68" s="1" t="s">
        <v>95</v>
      </c>
      <c r="C68" s="2">
        <v>5000.0</v>
      </c>
      <c r="D68" s="1" t="s">
        <v>28</v>
      </c>
      <c r="E68" s="1" t="s">
        <v>27</v>
      </c>
      <c r="Q68" s="16"/>
    </row>
    <row r="69">
      <c r="A69" s="1" t="s">
        <v>16</v>
      </c>
      <c r="B69" s="1" t="s">
        <v>96</v>
      </c>
      <c r="C69" s="2">
        <v>5000.0</v>
      </c>
      <c r="D69" s="1" t="s">
        <v>31</v>
      </c>
      <c r="E69" s="1" t="s">
        <v>30</v>
      </c>
      <c r="Q69" s="16"/>
    </row>
    <row r="70">
      <c r="A70" s="1" t="s">
        <v>42</v>
      </c>
      <c r="B70" s="1" t="s">
        <v>97</v>
      </c>
      <c r="C70" s="2">
        <v>4900.0</v>
      </c>
      <c r="D70" s="1" t="s">
        <v>30</v>
      </c>
      <c r="E70" s="1" t="s">
        <v>31</v>
      </c>
      <c r="Q70" s="16"/>
    </row>
    <row r="71">
      <c r="A71" s="1" t="s">
        <v>32</v>
      </c>
      <c r="B71" s="1" t="s">
        <v>98</v>
      </c>
      <c r="C71" s="2">
        <v>4800.0</v>
      </c>
      <c r="D71" s="1" t="s">
        <v>31</v>
      </c>
      <c r="E71" s="1" t="s">
        <v>30</v>
      </c>
      <c r="Q71" s="16"/>
    </row>
    <row r="72">
      <c r="A72" s="1" t="s">
        <v>16</v>
      </c>
      <c r="B72" s="1" t="s">
        <v>99</v>
      </c>
      <c r="C72" s="2">
        <v>4800.0</v>
      </c>
      <c r="D72" s="1" t="s">
        <v>14</v>
      </c>
      <c r="E72" s="1" t="s">
        <v>15</v>
      </c>
      <c r="Q72" s="16"/>
    </row>
    <row r="73">
      <c r="A73" s="1" t="s">
        <v>12</v>
      </c>
      <c r="B73" s="1" t="s">
        <v>100</v>
      </c>
      <c r="C73" s="2">
        <v>4800.0</v>
      </c>
      <c r="D73" s="1" t="s">
        <v>14</v>
      </c>
      <c r="E73" s="1" t="s">
        <v>15</v>
      </c>
      <c r="Q73" s="16"/>
    </row>
    <row r="74">
      <c r="A74" s="1" t="s">
        <v>38</v>
      </c>
      <c r="B74" s="1" t="s">
        <v>101</v>
      </c>
      <c r="C74" s="2">
        <v>4800.0</v>
      </c>
      <c r="D74" s="1" t="s">
        <v>27</v>
      </c>
      <c r="E74" s="1" t="s">
        <v>28</v>
      </c>
      <c r="Q74" s="16"/>
    </row>
    <row r="75">
      <c r="A75" s="1" t="s">
        <v>32</v>
      </c>
      <c r="B75" s="1" t="s">
        <v>102</v>
      </c>
      <c r="C75" s="2">
        <v>4700.0</v>
      </c>
      <c r="D75" s="1" t="s">
        <v>15</v>
      </c>
      <c r="E75" s="1" t="s">
        <v>14</v>
      </c>
      <c r="Q75" s="16"/>
    </row>
    <row r="76">
      <c r="A76" s="1" t="s">
        <v>38</v>
      </c>
      <c r="B76" s="1" t="s">
        <v>103</v>
      </c>
      <c r="C76" s="2">
        <v>4700.0</v>
      </c>
      <c r="D76" s="1" t="s">
        <v>30</v>
      </c>
      <c r="E76" s="1" t="s">
        <v>31</v>
      </c>
      <c r="Q76" s="16"/>
    </row>
    <row r="77">
      <c r="A77" s="1" t="s">
        <v>38</v>
      </c>
      <c r="B77" s="1" t="s">
        <v>104</v>
      </c>
      <c r="C77" s="2">
        <v>4600.0</v>
      </c>
      <c r="D77" s="1" t="s">
        <v>31</v>
      </c>
      <c r="E77" s="1" t="s">
        <v>30</v>
      </c>
      <c r="Q77" s="16"/>
    </row>
    <row r="78">
      <c r="A78" s="1" t="s">
        <v>32</v>
      </c>
      <c r="B78" s="1" t="s">
        <v>105</v>
      </c>
      <c r="C78" s="2">
        <v>4600.0</v>
      </c>
      <c r="D78" s="1" t="s">
        <v>21</v>
      </c>
      <c r="E78" s="1" t="s">
        <v>22</v>
      </c>
      <c r="Q78" s="16"/>
    </row>
    <row r="79">
      <c r="A79" s="1" t="s">
        <v>16</v>
      </c>
      <c r="B79" s="1" t="s">
        <v>106</v>
      </c>
      <c r="C79" s="2">
        <v>4600.0</v>
      </c>
      <c r="D79" s="1" t="s">
        <v>25</v>
      </c>
      <c r="E79" s="1" t="s">
        <v>24</v>
      </c>
      <c r="Q79" s="16"/>
    </row>
    <row r="80">
      <c r="A80" s="1" t="s">
        <v>32</v>
      </c>
      <c r="B80" s="1" t="s">
        <v>107</v>
      </c>
      <c r="C80" s="2">
        <v>4600.0</v>
      </c>
      <c r="D80" s="1" t="s">
        <v>28</v>
      </c>
      <c r="E80" s="1" t="s">
        <v>27</v>
      </c>
      <c r="Q80" s="16"/>
    </row>
    <row r="81">
      <c r="A81" s="1" t="s">
        <v>32</v>
      </c>
      <c r="B81" s="1" t="s">
        <v>108</v>
      </c>
      <c r="C81" s="2">
        <v>4500.0</v>
      </c>
      <c r="D81" s="1" t="s">
        <v>31</v>
      </c>
      <c r="E81" s="1" t="s">
        <v>30</v>
      </c>
      <c r="Q81" s="16"/>
    </row>
    <row r="82">
      <c r="A82" s="1" t="s">
        <v>42</v>
      </c>
      <c r="B82" s="1" t="s">
        <v>109</v>
      </c>
      <c r="C82" s="2">
        <v>4500.0</v>
      </c>
      <c r="D82" s="1" t="s">
        <v>27</v>
      </c>
      <c r="E82" s="1" t="s">
        <v>28</v>
      </c>
      <c r="Q82" s="16"/>
    </row>
    <row r="83">
      <c r="A83" s="1" t="s">
        <v>12</v>
      </c>
      <c r="B83" s="1" t="s">
        <v>110</v>
      </c>
      <c r="C83" s="2">
        <v>4500.0</v>
      </c>
      <c r="D83" s="1" t="s">
        <v>18</v>
      </c>
      <c r="E83" s="1" t="s">
        <v>19</v>
      </c>
      <c r="Q83" s="16"/>
    </row>
    <row r="84">
      <c r="A84" s="1" t="s">
        <v>38</v>
      </c>
      <c r="B84" s="1" t="s">
        <v>111</v>
      </c>
      <c r="C84" s="2">
        <v>4500.0</v>
      </c>
      <c r="D84" s="1" t="s">
        <v>19</v>
      </c>
      <c r="E84" s="1" t="s">
        <v>18</v>
      </c>
      <c r="Q84" s="16"/>
    </row>
    <row r="85">
      <c r="A85" s="1" t="s">
        <v>16</v>
      </c>
      <c r="B85" s="1" t="s">
        <v>112</v>
      </c>
      <c r="C85" s="2">
        <v>4500.0</v>
      </c>
      <c r="D85" s="1" t="s">
        <v>28</v>
      </c>
      <c r="E85" s="1" t="s">
        <v>27</v>
      </c>
      <c r="Q85" s="16"/>
    </row>
    <row r="86">
      <c r="A86" s="1" t="s">
        <v>16</v>
      </c>
      <c r="B86" s="1" t="s">
        <v>113</v>
      </c>
      <c r="C86" s="2">
        <v>4400.0</v>
      </c>
      <c r="D86" s="1" t="s">
        <v>27</v>
      </c>
      <c r="E86" s="1" t="s">
        <v>28</v>
      </c>
      <c r="Q86" s="16"/>
    </row>
    <row r="87">
      <c r="A87" s="1" t="s">
        <v>32</v>
      </c>
      <c r="B87" s="1" t="s">
        <v>114</v>
      </c>
      <c r="C87" s="2">
        <v>4400.0</v>
      </c>
      <c r="D87" s="1" t="s">
        <v>22</v>
      </c>
      <c r="E87" s="1" t="s">
        <v>21</v>
      </c>
      <c r="Q87" s="16"/>
    </row>
    <row r="88">
      <c r="A88" s="1" t="s">
        <v>38</v>
      </c>
      <c r="B88" s="1" t="s">
        <v>115</v>
      </c>
      <c r="C88" s="2">
        <v>4300.0</v>
      </c>
      <c r="D88" s="1" t="s">
        <v>31</v>
      </c>
      <c r="E88" s="1" t="s">
        <v>30</v>
      </c>
      <c r="Q88" s="16"/>
    </row>
    <row r="89">
      <c r="A89" s="1" t="s">
        <v>32</v>
      </c>
      <c r="B89" s="1" t="s">
        <v>116</v>
      </c>
      <c r="C89" s="2">
        <v>4300.0</v>
      </c>
      <c r="D89" s="1" t="s">
        <v>19</v>
      </c>
      <c r="E89" s="1" t="s">
        <v>18</v>
      </c>
      <c r="Q89" s="16"/>
    </row>
    <row r="90">
      <c r="A90" s="1" t="s">
        <v>12</v>
      </c>
      <c r="B90" s="1" t="s">
        <v>117</v>
      </c>
      <c r="C90" s="2">
        <v>4300.0</v>
      </c>
      <c r="D90" s="1" t="s">
        <v>27</v>
      </c>
      <c r="E90" s="1" t="s">
        <v>28</v>
      </c>
      <c r="Q90" s="16"/>
    </row>
    <row r="91">
      <c r="A91" s="1" t="s">
        <v>16</v>
      </c>
      <c r="B91" s="1" t="s">
        <v>118</v>
      </c>
      <c r="C91" s="2">
        <v>4200.0</v>
      </c>
      <c r="D91" s="1" t="s">
        <v>22</v>
      </c>
      <c r="E91" s="1" t="s">
        <v>21</v>
      </c>
      <c r="Q91" s="16"/>
    </row>
    <row r="92">
      <c r="A92" s="1" t="s">
        <v>12</v>
      </c>
      <c r="B92" s="1" t="s">
        <v>119</v>
      </c>
      <c r="C92" s="2">
        <v>4200.0</v>
      </c>
      <c r="D92" s="1" t="s">
        <v>21</v>
      </c>
      <c r="E92" s="1" t="s">
        <v>22</v>
      </c>
      <c r="Q92" s="16"/>
    </row>
    <row r="93">
      <c r="A93" s="1" t="s">
        <v>42</v>
      </c>
      <c r="B93" s="1" t="s">
        <v>120</v>
      </c>
      <c r="C93" s="2">
        <v>4200.0</v>
      </c>
      <c r="D93" s="1" t="s">
        <v>14</v>
      </c>
      <c r="E93" s="1" t="s">
        <v>15</v>
      </c>
      <c r="Q93" s="16"/>
    </row>
    <row r="94">
      <c r="A94" s="1" t="s">
        <v>42</v>
      </c>
      <c r="B94" s="1" t="s">
        <v>121</v>
      </c>
      <c r="C94" s="2">
        <v>4100.0</v>
      </c>
      <c r="D94" s="1" t="s">
        <v>14</v>
      </c>
      <c r="E94" s="1" t="s">
        <v>15</v>
      </c>
      <c r="Q94" s="16"/>
    </row>
    <row r="95">
      <c r="A95" s="1" t="s">
        <v>38</v>
      </c>
      <c r="B95" s="1" t="s">
        <v>122</v>
      </c>
      <c r="C95" s="2">
        <v>4100.0</v>
      </c>
      <c r="D95" s="1" t="s">
        <v>21</v>
      </c>
      <c r="E95" s="1" t="s">
        <v>22</v>
      </c>
      <c r="Q95" s="16"/>
    </row>
    <row r="96">
      <c r="A96" s="1" t="s">
        <v>12</v>
      </c>
      <c r="B96" s="1" t="s">
        <v>123</v>
      </c>
      <c r="C96" s="2">
        <v>4100.0</v>
      </c>
      <c r="D96" s="1" t="s">
        <v>24</v>
      </c>
      <c r="E96" s="1" t="s">
        <v>25</v>
      </c>
      <c r="Q96" s="16"/>
    </row>
    <row r="97">
      <c r="A97" s="1" t="s">
        <v>42</v>
      </c>
      <c r="B97" s="1" t="s">
        <v>124</v>
      </c>
      <c r="C97" s="2">
        <v>4100.0</v>
      </c>
      <c r="D97" s="1" t="s">
        <v>21</v>
      </c>
      <c r="E97" s="1" t="s">
        <v>22</v>
      </c>
      <c r="Q97" s="16"/>
    </row>
    <row r="98">
      <c r="A98" s="1" t="s">
        <v>38</v>
      </c>
      <c r="B98" s="1" t="s">
        <v>125</v>
      </c>
      <c r="C98" s="2">
        <v>4100.0</v>
      </c>
      <c r="D98" s="1" t="s">
        <v>31</v>
      </c>
      <c r="E98" s="1" t="s">
        <v>30</v>
      </c>
      <c r="Q98" s="16"/>
    </row>
    <row r="99">
      <c r="A99" s="1" t="s">
        <v>16</v>
      </c>
      <c r="B99" s="1" t="s">
        <v>126</v>
      </c>
      <c r="C99" s="2">
        <v>4100.0</v>
      </c>
      <c r="D99" s="1" t="s">
        <v>27</v>
      </c>
      <c r="E99" s="1" t="s">
        <v>28</v>
      </c>
      <c r="Q99" s="16"/>
    </row>
    <row r="100">
      <c r="A100" s="1" t="s">
        <v>42</v>
      </c>
      <c r="B100" s="1" t="s">
        <v>127</v>
      </c>
      <c r="C100" s="2">
        <v>4000.0</v>
      </c>
      <c r="D100" s="1" t="s">
        <v>24</v>
      </c>
      <c r="E100" s="1" t="s">
        <v>25</v>
      </c>
      <c r="Q100" s="16"/>
    </row>
    <row r="101">
      <c r="A101" s="1" t="s">
        <v>42</v>
      </c>
      <c r="B101" s="1" t="s">
        <v>128</v>
      </c>
      <c r="C101" s="2">
        <v>4000.0</v>
      </c>
      <c r="D101" s="1" t="s">
        <v>24</v>
      </c>
      <c r="E101" s="1" t="s">
        <v>25</v>
      </c>
      <c r="Q101" s="16"/>
    </row>
    <row r="102">
      <c r="A102" s="1" t="s">
        <v>12</v>
      </c>
      <c r="B102" s="1" t="s">
        <v>129</v>
      </c>
      <c r="C102" s="2">
        <v>4000.0</v>
      </c>
      <c r="D102" s="1" t="s">
        <v>31</v>
      </c>
      <c r="E102" s="1" t="s">
        <v>30</v>
      </c>
      <c r="Q102" s="16"/>
    </row>
    <row r="103">
      <c r="A103" s="1" t="s">
        <v>32</v>
      </c>
      <c r="B103" s="1" t="s">
        <v>130</v>
      </c>
      <c r="C103" s="2">
        <v>4000.0</v>
      </c>
      <c r="D103" s="1" t="s">
        <v>31</v>
      </c>
      <c r="E103" s="1" t="s">
        <v>30</v>
      </c>
      <c r="Q103" s="16"/>
    </row>
    <row r="104">
      <c r="A104" s="1" t="s">
        <v>16</v>
      </c>
      <c r="B104" s="1" t="s">
        <v>131</v>
      </c>
      <c r="C104" s="2">
        <v>4000.0</v>
      </c>
      <c r="D104" s="1" t="s">
        <v>21</v>
      </c>
      <c r="E104" s="1" t="s">
        <v>22</v>
      </c>
      <c r="Q104" s="16"/>
    </row>
    <row r="105">
      <c r="A105" s="1" t="s">
        <v>32</v>
      </c>
      <c r="B105" s="1" t="s">
        <v>132</v>
      </c>
      <c r="C105" s="2">
        <v>4000.0</v>
      </c>
      <c r="D105" s="1" t="s">
        <v>19</v>
      </c>
      <c r="E105" s="1" t="s">
        <v>18</v>
      </c>
      <c r="Q105" s="16"/>
    </row>
    <row r="106">
      <c r="A106" s="1" t="s">
        <v>16</v>
      </c>
      <c r="B106" s="1" t="s">
        <v>133</v>
      </c>
      <c r="C106" s="2">
        <v>3900.0</v>
      </c>
      <c r="D106" s="1" t="s">
        <v>25</v>
      </c>
      <c r="E106" s="1" t="s">
        <v>24</v>
      </c>
      <c r="Q106" s="16"/>
    </row>
    <row r="107">
      <c r="A107" s="1" t="s">
        <v>12</v>
      </c>
      <c r="B107" s="1" t="s">
        <v>134</v>
      </c>
      <c r="C107" s="2">
        <v>3900.0</v>
      </c>
      <c r="D107" s="1" t="s">
        <v>14</v>
      </c>
      <c r="E107" s="1" t="s">
        <v>15</v>
      </c>
      <c r="Q107" s="16"/>
    </row>
    <row r="108">
      <c r="A108" s="1" t="s">
        <v>32</v>
      </c>
      <c r="B108" s="1" t="s">
        <v>135</v>
      </c>
      <c r="C108" s="2">
        <v>3900.0</v>
      </c>
      <c r="D108" s="1" t="s">
        <v>15</v>
      </c>
      <c r="E108" s="1" t="s">
        <v>14</v>
      </c>
      <c r="Q108" s="16"/>
    </row>
    <row r="109">
      <c r="A109" s="1" t="s">
        <v>42</v>
      </c>
      <c r="B109" s="1" t="s">
        <v>136</v>
      </c>
      <c r="C109" s="2">
        <v>3900.0</v>
      </c>
      <c r="D109" s="1" t="s">
        <v>19</v>
      </c>
      <c r="E109" s="1" t="s">
        <v>18</v>
      </c>
      <c r="Q109" s="16"/>
    </row>
    <row r="110">
      <c r="A110" s="1" t="s">
        <v>32</v>
      </c>
      <c r="B110" s="1" t="s">
        <v>137</v>
      </c>
      <c r="C110" s="2">
        <v>3800.0</v>
      </c>
      <c r="D110" s="1" t="s">
        <v>18</v>
      </c>
      <c r="E110" s="1" t="s">
        <v>19</v>
      </c>
      <c r="Q110" s="16"/>
    </row>
    <row r="111">
      <c r="A111" s="1" t="s">
        <v>38</v>
      </c>
      <c r="B111" s="1" t="s">
        <v>138</v>
      </c>
      <c r="C111" s="2">
        <v>3800.0</v>
      </c>
      <c r="D111" s="1" t="s">
        <v>15</v>
      </c>
      <c r="E111" s="1" t="s">
        <v>14</v>
      </c>
      <c r="Q111" s="16"/>
    </row>
    <row r="112">
      <c r="A112" s="1" t="s">
        <v>16</v>
      </c>
      <c r="B112" s="1" t="s">
        <v>139</v>
      </c>
      <c r="C112" s="2">
        <v>3800.0</v>
      </c>
      <c r="D112" s="1" t="s">
        <v>21</v>
      </c>
      <c r="E112" s="1" t="s">
        <v>22</v>
      </c>
      <c r="Q112" s="16"/>
    </row>
    <row r="113">
      <c r="A113" s="1" t="s">
        <v>16</v>
      </c>
      <c r="B113" s="1" t="s">
        <v>140</v>
      </c>
      <c r="C113" s="2">
        <v>3800.0</v>
      </c>
      <c r="D113" s="1" t="s">
        <v>28</v>
      </c>
      <c r="E113" s="1" t="s">
        <v>27</v>
      </c>
      <c r="Q113" s="16"/>
    </row>
    <row r="114">
      <c r="A114" s="1" t="s">
        <v>38</v>
      </c>
      <c r="B114" s="1" t="s">
        <v>141</v>
      </c>
      <c r="C114" s="2">
        <v>3700.0</v>
      </c>
      <c r="D114" s="1" t="s">
        <v>24</v>
      </c>
      <c r="E114" s="1" t="s">
        <v>25</v>
      </c>
      <c r="Q114" s="16"/>
    </row>
    <row r="115">
      <c r="A115" s="1" t="s">
        <v>16</v>
      </c>
      <c r="B115" s="1" t="s">
        <v>142</v>
      </c>
      <c r="C115" s="2">
        <v>3700.0</v>
      </c>
      <c r="D115" s="1" t="s">
        <v>14</v>
      </c>
      <c r="E115" s="1" t="s">
        <v>15</v>
      </c>
      <c r="Q115" s="16"/>
    </row>
    <row r="116">
      <c r="A116" s="1" t="s">
        <v>12</v>
      </c>
      <c r="B116" s="1" t="s">
        <v>143</v>
      </c>
      <c r="C116" s="2">
        <v>3700.0</v>
      </c>
      <c r="D116" s="1" t="s">
        <v>30</v>
      </c>
      <c r="E116" s="1" t="s">
        <v>31</v>
      </c>
      <c r="Q116" s="16"/>
    </row>
    <row r="117">
      <c r="A117" s="1" t="s">
        <v>38</v>
      </c>
      <c r="B117" s="1" t="s">
        <v>144</v>
      </c>
      <c r="C117" s="2">
        <v>3700.0</v>
      </c>
      <c r="D117" s="1" t="s">
        <v>31</v>
      </c>
      <c r="E117" s="1" t="s">
        <v>30</v>
      </c>
      <c r="Q117" s="16"/>
    </row>
    <row r="118">
      <c r="A118" s="1" t="s">
        <v>16</v>
      </c>
      <c r="B118" s="1" t="s">
        <v>145</v>
      </c>
      <c r="C118" s="2">
        <v>3700.0</v>
      </c>
      <c r="D118" s="1" t="s">
        <v>22</v>
      </c>
      <c r="E118" s="1" t="s">
        <v>21</v>
      </c>
      <c r="Q118" s="16"/>
    </row>
    <row r="119">
      <c r="A119" s="1" t="s">
        <v>32</v>
      </c>
      <c r="B119" s="1" t="s">
        <v>146</v>
      </c>
      <c r="C119" s="2">
        <v>3700.0</v>
      </c>
      <c r="D119" s="1" t="s">
        <v>25</v>
      </c>
      <c r="E119" s="1" t="s">
        <v>24</v>
      </c>
      <c r="Q119" s="16"/>
    </row>
    <row r="120">
      <c r="A120" s="1" t="s">
        <v>38</v>
      </c>
      <c r="B120" s="1" t="s">
        <v>147</v>
      </c>
      <c r="C120" s="2">
        <v>3600.0</v>
      </c>
      <c r="D120" s="1" t="s">
        <v>21</v>
      </c>
      <c r="E120" s="1" t="s">
        <v>22</v>
      </c>
      <c r="Q120" s="16"/>
    </row>
    <row r="121">
      <c r="A121" s="1" t="s">
        <v>32</v>
      </c>
      <c r="B121" s="1" t="s">
        <v>148</v>
      </c>
      <c r="C121" s="2">
        <v>3600.0</v>
      </c>
      <c r="D121" s="1" t="s">
        <v>28</v>
      </c>
      <c r="E121" s="1" t="s">
        <v>27</v>
      </c>
      <c r="Q121" s="16"/>
    </row>
    <row r="122">
      <c r="A122" s="1" t="s">
        <v>12</v>
      </c>
      <c r="B122" s="1" t="s">
        <v>149</v>
      </c>
      <c r="C122" s="2">
        <v>3600.0</v>
      </c>
      <c r="D122" s="1" t="s">
        <v>15</v>
      </c>
      <c r="E122" s="1" t="s">
        <v>14</v>
      </c>
      <c r="Q122" s="16"/>
    </row>
    <row r="123">
      <c r="A123" s="1" t="s">
        <v>38</v>
      </c>
      <c r="B123" s="1" t="s">
        <v>150</v>
      </c>
      <c r="C123" s="2">
        <v>3600.0</v>
      </c>
      <c r="D123" s="1" t="s">
        <v>31</v>
      </c>
      <c r="E123" s="1" t="s">
        <v>30</v>
      </c>
      <c r="Q123" s="16"/>
    </row>
    <row r="124">
      <c r="A124" s="1" t="s">
        <v>38</v>
      </c>
      <c r="B124" s="1" t="s">
        <v>151</v>
      </c>
      <c r="C124" s="2">
        <v>3500.0</v>
      </c>
      <c r="D124" s="1" t="s">
        <v>14</v>
      </c>
      <c r="E124" s="1" t="s">
        <v>15</v>
      </c>
      <c r="Q124" s="16"/>
    </row>
    <row r="125">
      <c r="A125" s="1" t="s">
        <v>38</v>
      </c>
      <c r="B125" s="1" t="s">
        <v>152</v>
      </c>
      <c r="C125" s="2">
        <v>3500.0</v>
      </c>
      <c r="D125" s="1" t="s">
        <v>22</v>
      </c>
      <c r="E125" s="1" t="s">
        <v>21</v>
      </c>
      <c r="Q125" s="16"/>
    </row>
    <row r="126">
      <c r="A126" s="1" t="s">
        <v>12</v>
      </c>
      <c r="B126" s="1" t="s">
        <v>153</v>
      </c>
      <c r="C126" s="2">
        <v>3500.0</v>
      </c>
      <c r="D126" s="1" t="s">
        <v>22</v>
      </c>
      <c r="E126" s="1" t="s">
        <v>21</v>
      </c>
      <c r="Q126" s="16"/>
    </row>
    <row r="127">
      <c r="A127" s="1" t="s">
        <v>16</v>
      </c>
      <c r="B127" s="1" t="s">
        <v>154</v>
      </c>
      <c r="C127" s="2">
        <v>3500.0</v>
      </c>
      <c r="D127" s="1" t="s">
        <v>25</v>
      </c>
      <c r="E127" s="1" t="s">
        <v>24</v>
      </c>
      <c r="Q127" s="16"/>
    </row>
    <row r="128">
      <c r="A128" s="1" t="s">
        <v>12</v>
      </c>
      <c r="B128" s="1" t="s">
        <v>155</v>
      </c>
      <c r="C128" s="2">
        <v>3500.0</v>
      </c>
      <c r="D128" s="1" t="s">
        <v>31</v>
      </c>
      <c r="E128" s="1" t="s">
        <v>30</v>
      </c>
      <c r="Q128" s="16"/>
    </row>
    <row r="129">
      <c r="A129" s="1" t="s">
        <v>32</v>
      </c>
      <c r="B129" s="1" t="s">
        <v>156</v>
      </c>
      <c r="C129" s="2">
        <v>3500.0</v>
      </c>
      <c r="D129" s="1" t="s">
        <v>31</v>
      </c>
      <c r="E129" s="1" t="s">
        <v>30</v>
      </c>
      <c r="Q129" s="16"/>
    </row>
    <row r="130">
      <c r="A130" s="1" t="s">
        <v>32</v>
      </c>
      <c r="B130" s="1" t="s">
        <v>157</v>
      </c>
      <c r="C130" s="2">
        <v>3500.0</v>
      </c>
      <c r="D130" s="1" t="s">
        <v>27</v>
      </c>
      <c r="E130" s="1" t="s">
        <v>28</v>
      </c>
      <c r="Q130" s="16"/>
    </row>
    <row r="131">
      <c r="A131" s="1" t="s">
        <v>16</v>
      </c>
      <c r="B131" s="1" t="s">
        <v>158</v>
      </c>
      <c r="C131" s="2">
        <v>3500.0</v>
      </c>
      <c r="D131" s="1" t="s">
        <v>19</v>
      </c>
      <c r="E131" s="1" t="s">
        <v>18</v>
      </c>
      <c r="Q131" s="16"/>
    </row>
    <row r="132">
      <c r="A132" s="1" t="s">
        <v>38</v>
      </c>
      <c r="B132" s="1" t="s">
        <v>159</v>
      </c>
      <c r="C132" s="2">
        <v>3500.0</v>
      </c>
      <c r="D132" s="1" t="s">
        <v>15</v>
      </c>
      <c r="E132" s="1" t="s">
        <v>14</v>
      </c>
      <c r="Q132" s="16"/>
    </row>
    <row r="133">
      <c r="A133" s="1" t="s">
        <v>12</v>
      </c>
      <c r="B133" s="1" t="s">
        <v>160</v>
      </c>
      <c r="C133" s="2">
        <v>3500.0</v>
      </c>
      <c r="D133" s="1" t="s">
        <v>30</v>
      </c>
      <c r="E133" s="1" t="s">
        <v>31</v>
      </c>
      <c r="Q133" s="16"/>
    </row>
    <row r="134">
      <c r="A134" s="1" t="s">
        <v>42</v>
      </c>
      <c r="B134" s="1" t="s">
        <v>161</v>
      </c>
      <c r="C134" s="2">
        <v>3500.0</v>
      </c>
      <c r="D134" s="1" t="s">
        <v>25</v>
      </c>
      <c r="E134" s="1" t="s">
        <v>24</v>
      </c>
      <c r="Q134" s="16"/>
    </row>
    <row r="135">
      <c r="A135" s="1" t="s">
        <v>16</v>
      </c>
      <c r="B135" s="1" t="s">
        <v>162</v>
      </c>
      <c r="C135" s="2">
        <v>3500.0</v>
      </c>
      <c r="D135" s="1" t="s">
        <v>15</v>
      </c>
      <c r="E135" s="1" t="s">
        <v>14</v>
      </c>
      <c r="Q135" s="16"/>
    </row>
    <row r="136">
      <c r="A136" s="1" t="s">
        <v>16</v>
      </c>
      <c r="B136" s="1" t="s">
        <v>163</v>
      </c>
      <c r="C136" s="2">
        <v>3500.0</v>
      </c>
      <c r="D136" s="1" t="s">
        <v>19</v>
      </c>
      <c r="E136" s="1" t="s">
        <v>18</v>
      </c>
      <c r="Q136" s="16"/>
    </row>
    <row r="137">
      <c r="A137" s="1" t="s">
        <v>12</v>
      </c>
      <c r="B137" s="1" t="s">
        <v>164</v>
      </c>
      <c r="C137" s="2">
        <v>3500.0</v>
      </c>
      <c r="D137" s="1" t="s">
        <v>22</v>
      </c>
      <c r="E137" s="1" t="s">
        <v>21</v>
      </c>
      <c r="Q137" s="16"/>
    </row>
    <row r="138">
      <c r="A138" s="1" t="s">
        <v>38</v>
      </c>
      <c r="B138" s="1" t="s">
        <v>165</v>
      </c>
      <c r="C138" s="2">
        <v>3500.0</v>
      </c>
      <c r="D138" s="1" t="s">
        <v>15</v>
      </c>
      <c r="E138" s="1" t="s">
        <v>14</v>
      </c>
      <c r="Q138" s="16"/>
    </row>
    <row r="139">
      <c r="A139" s="1" t="s">
        <v>12</v>
      </c>
      <c r="B139" s="1" t="s">
        <v>166</v>
      </c>
      <c r="C139" s="2">
        <v>3500.0</v>
      </c>
      <c r="D139" s="1" t="s">
        <v>22</v>
      </c>
      <c r="E139" s="1" t="s">
        <v>21</v>
      </c>
      <c r="Q139" s="16"/>
    </row>
    <row r="140">
      <c r="A140" s="1" t="s">
        <v>38</v>
      </c>
      <c r="B140" s="1" t="s">
        <v>167</v>
      </c>
      <c r="C140" s="2">
        <v>3500.0</v>
      </c>
      <c r="D140" s="1" t="s">
        <v>14</v>
      </c>
      <c r="E140" s="1" t="s">
        <v>15</v>
      </c>
      <c r="Q140" s="16"/>
    </row>
    <row r="141">
      <c r="A141" s="1" t="s">
        <v>38</v>
      </c>
      <c r="B141" s="1" t="s">
        <v>168</v>
      </c>
      <c r="C141" s="2">
        <v>3500.0</v>
      </c>
      <c r="D141" s="1" t="s">
        <v>27</v>
      </c>
      <c r="E141" s="1" t="s">
        <v>28</v>
      </c>
      <c r="Q141" s="16"/>
    </row>
    <row r="142">
      <c r="A142" s="1" t="s">
        <v>16</v>
      </c>
      <c r="B142" s="1" t="s">
        <v>169</v>
      </c>
      <c r="C142" s="2">
        <v>3500.0</v>
      </c>
      <c r="D142" s="1" t="s">
        <v>14</v>
      </c>
      <c r="E142" s="1" t="s">
        <v>15</v>
      </c>
      <c r="Q142" s="16"/>
    </row>
    <row r="143">
      <c r="A143" s="1" t="s">
        <v>16</v>
      </c>
      <c r="B143" s="1" t="s">
        <v>170</v>
      </c>
      <c r="C143" s="2">
        <v>3500.0</v>
      </c>
      <c r="D143" s="1" t="s">
        <v>30</v>
      </c>
      <c r="E143" s="1" t="s">
        <v>31</v>
      </c>
      <c r="Q143" s="16"/>
    </row>
    <row r="144">
      <c r="A144" s="1" t="s">
        <v>32</v>
      </c>
      <c r="B144" s="1" t="s">
        <v>171</v>
      </c>
      <c r="C144" s="2">
        <v>3500.0</v>
      </c>
      <c r="D144" s="1" t="s">
        <v>24</v>
      </c>
      <c r="E144" s="1" t="s">
        <v>25</v>
      </c>
      <c r="Q144" s="16"/>
    </row>
    <row r="145">
      <c r="A145" s="1" t="s">
        <v>12</v>
      </c>
      <c r="B145" s="1" t="s">
        <v>172</v>
      </c>
      <c r="C145" s="2">
        <v>3500.0</v>
      </c>
      <c r="D145" s="1" t="s">
        <v>28</v>
      </c>
      <c r="E145" s="1" t="s">
        <v>27</v>
      </c>
      <c r="Q145" s="16"/>
    </row>
    <row r="146">
      <c r="A146" s="1" t="s">
        <v>38</v>
      </c>
      <c r="B146" s="1" t="s">
        <v>173</v>
      </c>
      <c r="C146" s="2">
        <v>3500.0</v>
      </c>
      <c r="D146" s="1" t="s">
        <v>19</v>
      </c>
      <c r="E146" s="1" t="s">
        <v>18</v>
      </c>
      <c r="Q146" s="16"/>
    </row>
    <row r="147">
      <c r="A147" s="1" t="s">
        <v>32</v>
      </c>
      <c r="B147" s="1" t="s">
        <v>174</v>
      </c>
      <c r="C147" s="2">
        <v>3500.0</v>
      </c>
      <c r="D147" s="1" t="s">
        <v>19</v>
      </c>
      <c r="E147" s="1" t="s">
        <v>18</v>
      </c>
      <c r="Q147" s="16"/>
    </row>
    <row r="148">
      <c r="A148" s="1" t="s">
        <v>16</v>
      </c>
      <c r="B148" s="1" t="s">
        <v>175</v>
      </c>
      <c r="C148" s="2">
        <v>3500.0</v>
      </c>
      <c r="D148" s="1" t="s">
        <v>18</v>
      </c>
      <c r="E148" s="1" t="s">
        <v>19</v>
      </c>
      <c r="Q148" s="16"/>
    </row>
    <row r="149">
      <c r="A149" s="1" t="s">
        <v>12</v>
      </c>
      <c r="B149" s="1" t="s">
        <v>176</v>
      </c>
      <c r="C149" s="2">
        <v>3500.0</v>
      </c>
      <c r="D149" s="1" t="s">
        <v>28</v>
      </c>
      <c r="E149" s="1" t="s">
        <v>27</v>
      </c>
      <c r="Q149" s="16"/>
    </row>
    <row r="150">
      <c r="A150" s="1" t="s">
        <v>38</v>
      </c>
      <c r="B150" s="1" t="s">
        <v>177</v>
      </c>
      <c r="C150" s="2">
        <v>3500.0</v>
      </c>
      <c r="D150" s="1" t="s">
        <v>14</v>
      </c>
      <c r="E150" s="1" t="s">
        <v>15</v>
      </c>
      <c r="Q150" s="16"/>
    </row>
    <row r="151">
      <c r="A151" s="1" t="s">
        <v>16</v>
      </c>
      <c r="B151" s="1" t="s">
        <v>178</v>
      </c>
      <c r="C151" s="2">
        <v>3500.0</v>
      </c>
      <c r="D151" s="1" t="s">
        <v>28</v>
      </c>
      <c r="E151" s="1" t="s">
        <v>27</v>
      </c>
      <c r="Q151" s="16"/>
    </row>
    <row r="152">
      <c r="A152" s="1" t="s">
        <v>38</v>
      </c>
      <c r="B152" s="1" t="s">
        <v>179</v>
      </c>
      <c r="C152" s="2">
        <v>3500.0</v>
      </c>
      <c r="D152" s="1" t="s">
        <v>28</v>
      </c>
      <c r="E152" s="1" t="s">
        <v>27</v>
      </c>
      <c r="Q152" s="16"/>
    </row>
    <row r="153">
      <c r="A153" s="1" t="s">
        <v>38</v>
      </c>
      <c r="B153" s="1" t="s">
        <v>180</v>
      </c>
      <c r="C153" s="2">
        <v>3500.0</v>
      </c>
      <c r="D153" s="1" t="s">
        <v>25</v>
      </c>
      <c r="E153" s="1" t="s">
        <v>24</v>
      </c>
      <c r="Q153" s="16"/>
    </row>
    <row r="154">
      <c r="A154" s="1" t="s">
        <v>12</v>
      </c>
      <c r="B154" s="1" t="s">
        <v>181</v>
      </c>
      <c r="C154" s="2">
        <v>3500.0</v>
      </c>
      <c r="D154" s="1" t="s">
        <v>18</v>
      </c>
      <c r="E154" s="1" t="s">
        <v>19</v>
      </c>
      <c r="Q154" s="16"/>
    </row>
    <row r="155">
      <c r="A155" s="1" t="s">
        <v>32</v>
      </c>
      <c r="B155" s="1" t="s">
        <v>182</v>
      </c>
      <c r="C155" s="2">
        <v>3500.0</v>
      </c>
      <c r="D155" s="1" t="s">
        <v>28</v>
      </c>
      <c r="E155" s="1" t="s">
        <v>27</v>
      </c>
      <c r="Q155" s="16"/>
    </row>
    <row r="156">
      <c r="A156" s="1" t="s">
        <v>32</v>
      </c>
      <c r="B156" s="1" t="s">
        <v>183</v>
      </c>
      <c r="C156" s="2">
        <v>3500.0</v>
      </c>
      <c r="D156" s="1" t="s">
        <v>25</v>
      </c>
      <c r="E156" s="1" t="s">
        <v>24</v>
      </c>
      <c r="Q156" s="16"/>
    </row>
    <row r="157">
      <c r="A157" s="1" t="s">
        <v>42</v>
      </c>
      <c r="B157" s="1" t="s">
        <v>184</v>
      </c>
      <c r="C157" s="2">
        <v>3500.0</v>
      </c>
      <c r="D157" s="1" t="s">
        <v>14</v>
      </c>
      <c r="E157" s="1" t="s">
        <v>15</v>
      </c>
      <c r="Q157" s="16"/>
    </row>
    <row r="158">
      <c r="A158" s="1" t="s">
        <v>16</v>
      </c>
      <c r="B158" s="1" t="s">
        <v>185</v>
      </c>
      <c r="C158" s="2">
        <v>3500.0</v>
      </c>
      <c r="D158" s="1" t="s">
        <v>14</v>
      </c>
      <c r="E158" s="1" t="s">
        <v>15</v>
      </c>
      <c r="Q158" s="16"/>
    </row>
    <row r="159">
      <c r="A159" s="1" t="s">
        <v>32</v>
      </c>
      <c r="B159" s="1" t="s">
        <v>186</v>
      </c>
      <c r="C159" s="2">
        <v>3500.0</v>
      </c>
      <c r="D159" s="1" t="s">
        <v>25</v>
      </c>
      <c r="E159" s="1" t="s">
        <v>24</v>
      </c>
      <c r="Q159" s="16"/>
    </row>
    <row r="160">
      <c r="A160" s="1" t="s">
        <v>16</v>
      </c>
      <c r="B160" s="1" t="s">
        <v>187</v>
      </c>
      <c r="C160" s="2">
        <v>3500.0</v>
      </c>
      <c r="D160" s="1" t="s">
        <v>15</v>
      </c>
      <c r="E160" s="1" t="s">
        <v>14</v>
      </c>
      <c r="Q160" s="16"/>
    </row>
    <row r="161">
      <c r="A161" s="1" t="s">
        <v>32</v>
      </c>
      <c r="B161" s="1" t="s">
        <v>188</v>
      </c>
      <c r="C161" s="2">
        <v>3500.0</v>
      </c>
      <c r="D161" s="1" t="s">
        <v>22</v>
      </c>
      <c r="E161" s="1" t="s">
        <v>21</v>
      </c>
      <c r="Q161" s="16"/>
    </row>
    <row r="162">
      <c r="A162" s="1" t="s">
        <v>38</v>
      </c>
      <c r="B162" s="1" t="s">
        <v>189</v>
      </c>
      <c r="C162" s="2">
        <v>3500.0</v>
      </c>
      <c r="D162" s="1" t="s">
        <v>30</v>
      </c>
      <c r="E162" s="1" t="s">
        <v>31</v>
      </c>
      <c r="Q162" s="16"/>
    </row>
    <row r="163">
      <c r="A163" s="1" t="s">
        <v>32</v>
      </c>
      <c r="B163" s="1" t="s">
        <v>190</v>
      </c>
      <c r="C163" s="2">
        <v>3500.0</v>
      </c>
      <c r="D163" s="1" t="s">
        <v>19</v>
      </c>
      <c r="E163" s="1" t="s">
        <v>18</v>
      </c>
      <c r="Q163" s="16"/>
    </row>
    <row r="164">
      <c r="A164" s="1" t="s">
        <v>38</v>
      </c>
      <c r="B164" s="1" t="s">
        <v>191</v>
      </c>
      <c r="C164" s="2">
        <v>3500.0</v>
      </c>
      <c r="D164" s="1" t="s">
        <v>18</v>
      </c>
      <c r="E164" s="1" t="s">
        <v>19</v>
      </c>
      <c r="Q164" s="16"/>
    </row>
    <row r="165">
      <c r="A165" s="1" t="s">
        <v>12</v>
      </c>
      <c r="B165" s="1" t="s">
        <v>192</v>
      </c>
      <c r="C165" s="2">
        <v>3500.0</v>
      </c>
      <c r="D165" s="1" t="s">
        <v>31</v>
      </c>
      <c r="E165" s="1" t="s">
        <v>30</v>
      </c>
      <c r="Q165" s="16"/>
    </row>
    <row r="166">
      <c r="A166" s="1" t="s">
        <v>32</v>
      </c>
      <c r="B166" s="1" t="s">
        <v>193</v>
      </c>
      <c r="C166" s="2">
        <v>3500.0</v>
      </c>
      <c r="D166" s="1" t="s">
        <v>28</v>
      </c>
      <c r="E166" s="1" t="s">
        <v>27</v>
      </c>
      <c r="Q166" s="16"/>
    </row>
    <row r="167">
      <c r="A167" s="1" t="s">
        <v>16</v>
      </c>
      <c r="B167" s="1" t="s">
        <v>194</v>
      </c>
      <c r="C167" s="2">
        <v>3500.0</v>
      </c>
      <c r="D167" s="1" t="s">
        <v>22</v>
      </c>
      <c r="E167" s="1" t="s">
        <v>21</v>
      </c>
      <c r="Q167" s="16"/>
    </row>
    <row r="168">
      <c r="A168" s="1" t="s">
        <v>38</v>
      </c>
      <c r="B168" s="1" t="s">
        <v>195</v>
      </c>
      <c r="C168" s="2">
        <v>3500.0</v>
      </c>
      <c r="D168" s="1" t="s">
        <v>22</v>
      </c>
      <c r="E168" s="1" t="s">
        <v>21</v>
      </c>
      <c r="Q168" s="16"/>
    </row>
    <row r="169">
      <c r="A169" s="1" t="s">
        <v>38</v>
      </c>
      <c r="B169" s="1" t="s">
        <v>196</v>
      </c>
      <c r="C169" s="2">
        <v>3500.0</v>
      </c>
      <c r="D169" s="1" t="s">
        <v>18</v>
      </c>
      <c r="E169" s="1" t="s">
        <v>19</v>
      </c>
      <c r="Q169" s="16"/>
    </row>
    <row r="170">
      <c r="A170" s="1" t="s">
        <v>16</v>
      </c>
      <c r="B170" s="1" t="s">
        <v>197</v>
      </c>
      <c r="C170" s="2">
        <v>3500.0</v>
      </c>
      <c r="D170" s="1" t="s">
        <v>24</v>
      </c>
      <c r="E170" s="1" t="s">
        <v>25</v>
      </c>
      <c r="Q170" s="16"/>
    </row>
    <row r="171">
      <c r="A171" s="1" t="s">
        <v>32</v>
      </c>
      <c r="B171" s="1" t="s">
        <v>198</v>
      </c>
      <c r="C171" s="2">
        <v>3500.0</v>
      </c>
      <c r="D171" s="1" t="s">
        <v>27</v>
      </c>
      <c r="E171" s="1" t="s">
        <v>28</v>
      </c>
      <c r="Q171" s="16"/>
    </row>
    <row r="172">
      <c r="A172" s="1" t="s">
        <v>38</v>
      </c>
      <c r="B172" s="1" t="s">
        <v>199</v>
      </c>
      <c r="C172" s="2">
        <v>3500.0</v>
      </c>
      <c r="D172" s="1" t="s">
        <v>28</v>
      </c>
      <c r="E172" s="1" t="s">
        <v>27</v>
      </c>
      <c r="Q172" s="16"/>
    </row>
    <row r="173">
      <c r="A173" s="1" t="s">
        <v>42</v>
      </c>
      <c r="B173" s="1" t="s">
        <v>200</v>
      </c>
      <c r="C173" s="2">
        <v>3500.0</v>
      </c>
      <c r="D173" s="1" t="s">
        <v>21</v>
      </c>
      <c r="E173" s="1" t="s">
        <v>22</v>
      </c>
      <c r="Q173" s="16"/>
    </row>
    <row r="174">
      <c r="A174" s="1" t="s">
        <v>32</v>
      </c>
      <c r="B174" s="1" t="s">
        <v>201</v>
      </c>
      <c r="C174" s="2">
        <v>3500.0</v>
      </c>
      <c r="D174" s="1" t="s">
        <v>22</v>
      </c>
      <c r="E174" s="1" t="s">
        <v>21</v>
      </c>
      <c r="Q174" s="16"/>
    </row>
    <row r="175">
      <c r="A175" s="1" t="s">
        <v>16</v>
      </c>
      <c r="B175" s="1" t="s">
        <v>202</v>
      </c>
      <c r="C175" s="2">
        <v>3500.0</v>
      </c>
      <c r="D175" s="1" t="s">
        <v>18</v>
      </c>
      <c r="E175" s="1" t="s">
        <v>19</v>
      </c>
      <c r="Q175" s="16"/>
    </row>
    <row r="176">
      <c r="A176" s="1" t="s">
        <v>16</v>
      </c>
      <c r="B176" s="1" t="s">
        <v>203</v>
      </c>
      <c r="C176" s="2">
        <v>3500.0</v>
      </c>
      <c r="D176" s="1" t="s">
        <v>25</v>
      </c>
      <c r="E176" s="1" t="s">
        <v>24</v>
      </c>
      <c r="Q176" s="16"/>
    </row>
    <row r="177">
      <c r="A177" s="1" t="s">
        <v>32</v>
      </c>
      <c r="B177" s="1" t="s">
        <v>204</v>
      </c>
      <c r="C177" s="2">
        <v>3500.0</v>
      </c>
      <c r="D177" s="1" t="s">
        <v>15</v>
      </c>
      <c r="E177" s="1" t="s">
        <v>14</v>
      </c>
      <c r="Q177" s="16"/>
    </row>
    <row r="178">
      <c r="A178" s="1" t="s">
        <v>38</v>
      </c>
      <c r="B178" s="1" t="s">
        <v>205</v>
      </c>
      <c r="C178" s="2">
        <v>3500.0</v>
      </c>
      <c r="D178" s="1" t="s">
        <v>30</v>
      </c>
      <c r="E178" s="1" t="s">
        <v>31</v>
      </c>
      <c r="Q178" s="16"/>
    </row>
    <row r="179">
      <c r="A179" s="1" t="s">
        <v>38</v>
      </c>
      <c r="B179" s="1" t="s">
        <v>206</v>
      </c>
      <c r="C179" s="2">
        <v>3500.0</v>
      </c>
      <c r="D179" s="1" t="s">
        <v>30</v>
      </c>
      <c r="E179" s="1" t="s">
        <v>31</v>
      </c>
      <c r="Q179" s="16"/>
    </row>
    <row r="180">
      <c r="A180" s="1" t="s">
        <v>42</v>
      </c>
      <c r="B180" s="1" t="s">
        <v>207</v>
      </c>
      <c r="C180" s="2">
        <v>3500.0</v>
      </c>
      <c r="D180" s="1" t="s">
        <v>15</v>
      </c>
      <c r="E180" s="1" t="s">
        <v>14</v>
      </c>
      <c r="Q180" s="16"/>
    </row>
    <row r="181">
      <c r="A181" s="1" t="s">
        <v>42</v>
      </c>
      <c r="B181" s="1" t="s">
        <v>208</v>
      </c>
      <c r="C181" s="2">
        <v>3500.0</v>
      </c>
      <c r="D181" s="1" t="s">
        <v>19</v>
      </c>
      <c r="E181" s="1" t="s">
        <v>18</v>
      </c>
      <c r="Q181" s="16"/>
    </row>
    <row r="182">
      <c r="A182" s="1" t="s">
        <v>38</v>
      </c>
      <c r="B182" s="1" t="s">
        <v>209</v>
      </c>
      <c r="C182" s="2">
        <v>3500.0</v>
      </c>
      <c r="D182" s="1" t="s">
        <v>21</v>
      </c>
      <c r="E182" s="1" t="s">
        <v>22</v>
      </c>
      <c r="Q182" s="16"/>
    </row>
    <row r="183">
      <c r="A183" s="1" t="s">
        <v>42</v>
      </c>
      <c r="B183" s="1" t="s">
        <v>210</v>
      </c>
      <c r="C183" s="2">
        <v>3500.0</v>
      </c>
      <c r="D183" s="1" t="s">
        <v>25</v>
      </c>
      <c r="E183" s="1" t="s">
        <v>24</v>
      </c>
      <c r="Q183" s="16"/>
    </row>
    <row r="184">
      <c r="A184" s="1" t="s">
        <v>38</v>
      </c>
      <c r="B184" s="1" t="s">
        <v>211</v>
      </c>
      <c r="C184" s="2">
        <v>3500.0</v>
      </c>
      <c r="D184" s="1" t="s">
        <v>25</v>
      </c>
      <c r="E184" s="1" t="s">
        <v>24</v>
      </c>
      <c r="Q184" s="16"/>
    </row>
    <row r="185">
      <c r="A185" s="1" t="s">
        <v>16</v>
      </c>
      <c r="B185" s="1" t="s">
        <v>212</v>
      </c>
      <c r="C185" s="2">
        <v>3500.0</v>
      </c>
      <c r="D185" s="1" t="s">
        <v>18</v>
      </c>
      <c r="E185" s="1" t="s">
        <v>19</v>
      </c>
      <c r="Q185" s="16"/>
    </row>
    <row r="186">
      <c r="A186" s="1" t="s">
        <v>12</v>
      </c>
      <c r="B186" s="1" t="s">
        <v>213</v>
      </c>
      <c r="C186" s="2">
        <v>3500.0</v>
      </c>
      <c r="D186" s="1" t="s">
        <v>18</v>
      </c>
      <c r="E186" s="1" t="s">
        <v>19</v>
      </c>
      <c r="Q186" s="16"/>
    </row>
    <row r="187">
      <c r="A187" s="1" t="s">
        <v>12</v>
      </c>
      <c r="B187" s="1" t="s">
        <v>214</v>
      </c>
      <c r="C187" s="2">
        <v>3500.0</v>
      </c>
      <c r="D187" s="1" t="s">
        <v>19</v>
      </c>
      <c r="E187" s="1" t="s">
        <v>18</v>
      </c>
      <c r="Q187" s="16"/>
    </row>
    <row r="188">
      <c r="A188" s="1" t="s">
        <v>32</v>
      </c>
      <c r="B188" s="1" t="s">
        <v>215</v>
      </c>
      <c r="C188" s="2">
        <v>3500.0</v>
      </c>
      <c r="D188" s="1" t="s">
        <v>18</v>
      </c>
      <c r="E188" s="1" t="s">
        <v>19</v>
      </c>
      <c r="Q188" s="16"/>
    </row>
    <row r="189">
      <c r="A189" s="1" t="s">
        <v>16</v>
      </c>
      <c r="B189" s="1" t="s">
        <v>216</v>
      </c>
      <c r="C189" s="2">
        <v>3500.0</v>
      </c>
      <c r="D189" s="1" t="s">
        <v>30</v>
      </c>
      <c r="E189" s="1" t="s">
        <v>31</v>
      </c>
      <c r="Q189" s="16"/>
    </row>
    <row r="190">
      <c r="A190" s="1" t="s">
        <v>16</v>
      </c>
      <c r="B190" s="1" t="s">
        <v>217</v>
      </c>
      <c r="C190" s="2">
        <v>3500.0</v>
      </c>
      <c r="D190" s="1" t="s">
        <v>30</v>
      </c>
      <c r="E190" s="1" t="s">
        <v>31</v>
      </c>
      <c r="Q190" s="16"/>
    </row>
    <row r="191">
      <c r="A191" s="1" t="s">
        <v>16</v>
      </c>
      <c r="B191" s="1" t="s">
        <v>218</v>
      </c>
      <c r="C191" s="2">
        <v>3500.0</v>
      </c>
      <c r="D191" s="1" t="s">
        <v>30</v>
      </c>
      <c r="E191" s="1" t="s">
        <v>31</v>
      </c>
      <c r="Q191" s="16"/>
    </row>
    <row r="192">
      <c r="A192" s="1" t="s">
        <v>16</v>
      </c>
      <c r="B192" s="1" t="s">
        <v>219</v>
      </c>
      <c r="C192" s="2">
        <v>3500.0</v>
      </c>
      <c r="D192" s="1" t="s">
        <v>22</v>
      </c>
      <c r="E192" s="1" t="s">
        <v>21</v>
      </c>
      <c r="Q192" s="16"/>
    </row>
    <row r="193">
      <c r="A193" s="1" t="s">
        <v>32</v>
      </c>
      <c r="B193" s="1" t="s">
        <v>220</v>
      </c>
      <c r="C193" s="2">
        <v>3500.0</v>
      </c>
      <c r="D193" s="1" t="s">
        <v>21</v>
      </c>
      <c r="E193" s="1" t="s">
        <v>22</v>
      </c>
      <c r="Q193" s="16"/>
    </row>
    <row r="194">
      <c r="A194" s="1" t="s">
        <v>42</v>
      </c>
      <c r="B194" s="1" t="s">
        <v>221</v>
      </c>
      <c r="C194" s="2">
        <v>3500.0</v>
      </c>
      <c r="D194" s="1" t="s">
        <v>24</v>
      </c>
      <c r="E194" s="1" t="s">
        <v>25</v>
      </c>
      <c r="Q194" s="16"/>
    </row>
    <row r="195">
      <c r="A195" s="1" t="s">
        <v>12</v>
      </c>
      <c r="B195" s="1" t="s">
        <v>222</v>
      </c>
      <c r="C195" s="2">
        <v>3500.0</v>
      </c>
      <c r="D195" s="1" t="s">
        <v>24</v>
      </c>
      <c r="E195" s="1" t="s">
        <v>25</v>
      </c>
      <c r="Q195" s="16"/>
    </row>
    <row r="196">
      <c r="A196" s="1" t="s">
        <v>12</v>
      </c>
      <c r="B196" s="1" t="s">
        <v>223</v>
      </c>
      <c r="C196" s="2">
        <v>3500.0</v>
      </c>
      <c r="D196" s="1" t="s">
        <v>14</v>
      </c>
      <c r="E196" s="1" t="s">
        <v>15</v>
      </c>
      <c r="Q196" s="16"/>
    </row>
    <row r="197">
      <c r="A197" s="1" t="s">
        <v>32</v>
      </c>
      <c r="B197" s="1" t="s">
        <v>224</v>
      </c>
      <c r="C197" s="2">
        <v>3500.0</v>
      </c>
      <c r="D197" s="1" t="s">
        <v>24</v>
      </c>
      <c r="E197" s="1" t="s">
        <v>25</v>
      </c>
      <c r="Q197" s="16"/>
    </row>
    <row r="198">
      <c r="A198" s="1" t="s">
        <v>38</v>
      </c>
      <c r="B198" s="1" t="s">
        <v>225</v>
      </c>
      <c r="C198" s="2">
        <v>3500.0</v>
      </c>
      <c r="D198" s="1" t="s">
        <v>28</v>
      </c>
      <c r="E198" s="1" t="s">
        <v>27</v>
      </c>
      <c r="Q198" s="16"/>
    </row>
    <row r="199">
      <c r="A199" s="1" t="s">
        <v>16</v>
      </c>
      <c r="B199" s="1" t="s">
        <v>226</v>
      </c>
      <c r="C199" s="2">
        <v>3500.0</v>
      </c>
      <c r="D199" s="1" t="s">
        <v>22</v>
      </c>
      <c r="E199" s="1" t="s">
        <v>21</v>
      </c>
      <c r="Q199" s="16"/>
    </row>
    <row r="200">
      <c r="A200" s="1" t="s">
        <v>12</v>
      </c>
      <c r="B200" s="1" t="s">
        <v>227</v>
      </c>
      <c r="C200" s="2">
        <v>3500.0</v>
      </c>
      <c r="D200" s="1" t="s">
        <v>15</v>
      </c>
      <c r="E200" s="1" t="s">
        <v>14</v>
      </c>
      <c r="Q200" s="16"/>
    </row>
    <row r="201">
      <c r="A201" s="1" t="s">
        <v>32</v>
      </c>
      <c r="B201" s="1" t="s">
        <v>228</v>
      </c>
      <c r="C201" s="2">
        <v>3000.0</v>
      </c>
      <c r="D201" s="1" t="s">
        <v>18</v>
      </c>
      <c r="E201" s="1" t="s">
        <v>19</v>
      </c>
      <c r="Q201" s="16"/>
    </row>
    <row r="202">
      <c r="A202" s="1"/>
      <c r="B202" s="1"/>
      <c r="C202" s="2"/>
      <c r="D202" s="1"/>
      <c r="E202" s="1"/>
      <c r="Q202" s="16"/>
    </row>
    <row r="203">
      <c r="A203" s="1"/>
      <c r="B203" s="1"/>
      <c r="C203" s="2"/>
      <c r="D203" s="1"/>
      <c r="E203" s="1"/>
      <c r="Q203" s="16"/>
    </row>
    <row r="204">
      <c r="A204" s="1"/>
      <c r="B204" s="1"/>
      <c r="C204" s="2"/>
      <c r="D204" s="1"/>
      <c r="E204" s="1"/>
      <c r="Q204" s="16"/>
    </row>
    <row r="205">
      <c r="A205" s="1"/>
      <c r="B205" s="1"/>
      <c r="C205" s="2"/>
      <c r="D205" s="1"/>
      <c r="E205" s="1"/>
      <c r="Q205" s="16"/>
    </row>
    <row r="206">
      <c r="A206" s="1"/>
      <c r="B206" s="1"/>
      <c r="C206" s="2"/>
      <c r="D206" s="1"/>
      <c r="E206" s="1"/>
      <c r="Q206" s="16"/>
    </row>
    <row r="207">
      <c r="A207" s="1"/>
      <c r="B207" s="1"/>
      <c r="C207" s="2"/>
      <c r="D207" s="1"/>
      <c r="E207" s="1"/>
      <c r="Q207" s="16"/>
    </row>
    <row r="208">
      <c r="A208" s="1"/>
      <c r="B208" s="1"/>
      <c r="C208" s="2"/>
      <c r="D208" s="1"/>
      <c r="E208" s="1"/>
      <c r="Q208" s="16"/>
    </row>
    <row r="209">
      <c r="A209" s="1"/>
      <c r="B209" s="1"/>
      <c r="C209" s="2"/>
      <c r="D209" s="1"/>
      <c r="E209" s="1"/>
      <c r="Q209" s="16"/>
    </row>
    <row r="210">
      <c r="A210" s="1"/>
      <c r="B210" s="1"/>
      <c r="C210" s="2"/>
      <c r="D210" s="1"/>
      <c r="E210" s="1"/>
      <c r="Q210" s="16"/>
    </row>
    <row r="211">
      <c r="A211" s="1"/>
      <c r="B211" s="1"/>
      <c r="C211" s="2"/>
      <c r="D211" s="1"/>
      <c r="E211" s="1"/>
      <c r="Q211" s="16"/>
    </row>
    <row r="212">
      <c r="A212" s="1"/>
      <c r="B212" s="1"/>
      <c r="C212" s="2"/>
      <c r="D212" s="1"/>
      <c r="E212" s="1"/>
      <c r="Q212" s="16"/>
    </row>
    <row r="213">
      <c r="A213" s="1"/>
      <c r="B213" s="1"/>
      <c r="C213" s="2"/>
      <c r="D213" s="1"/>
      <c r="E213" s="1"/>
      <c r="Q213" s="16"/>
    </row>
    <row r="214">
      <c r="A214" s="1"/>
      <c r="B214" s="1"/>
      <c r="C214" s="2"/>
      <c r="D214" s="1"/>
      <c r="E214" s="1"/>
      <c r="Q214" s="16"/>
    </row>
    <row r="215">
      <c r="A215" s="1"/>
      <c r="B215" s="1"/>
      <c r="C215" s="2"/>
      <c r="D215" s="1"/>
      <c r="E215" s="1"/>
      <c r="Q215" s="16"/>
    </row>
    <row r="216">
      <c r="A216" s="1"/>
      <c r="B216" s="1"/>
      <c r="C216" s="2"/>
      <c r="D216" s="1"/>
      <c r="E216" s="1"/>
      <c r="Q216" s="16"/>
    </row>
    <row r="217">
      <c r="A217" s="1"/>
      <c r="B217" s="1"/>
      <c r="C217" s="2"/>
      <c r="D217" s="1"/>
      <c r="E217" s="1"/>
      <c r="Q217" s="16"/>
    </row>
    <row r="218">
      <c r="A218" s="1"/>
      <c r="B218" s="1"/>
      <c r="C218" s="2"/>
      <c r="D218" s="1"/>
      <c r="E218" s="1"/>
      <c r="Q218" s="16"/>
    </row>
    <row r="219">
      <c r="A219" s="1"/>
      <c r="B219" s="1"/>
      <c r="C219" s="2"/>
      <c r="D219" s="1"/>
      <c r="E219" s="1"/>
      <c r="Q219" s="16"/>
    </row>
    <row r="220">
      <c r="A220" s="1"/>
      <c r="B220" s="1"/>
      <c r="C220" s="2"/>
      <c r="D220" s="1"/>
      <c r="E220" s="1"/>
      <c r="Q220" s="16"/>
    </row>
    <row r="221">
      <c r="A221" s="1"/>
      <c r="B221" s="1"/>
      <c r="C221" s="2"/>
      <c r="D221" s="1"/>
      <c r="E221" s="1"/>
      <c r="Q221" s="16"/>
    </row>
    <row r="222">
      <c r="A222" s="1"/>
      <c r="B222" s="1"/>
      <c r="C222" s="2"/>
      <c r="D222" s="1"/>
      <c r="E222" s="1"/>
      <c r="Q222" s="16"/>
    </row>
    <row r="223">
      <c r="A223" s="1"/>
      <c r="B223" s="1"/>
      <c r="C223" s="2"/>
      <c r="D223" s="1"/>
      <c r="E223" s="1"/>
      <c r="Q223" s="16"/>
    </row>
    <row r="224">
      <c r="A224" s="1"/>
      <c r="B224" s="1"/>
      <c r="C224" s="2"/>
      <c r="D224" s="1"/>
      <c r="E224" s="1"/>
      <c r="Q224" s="16"/>
    </row>
    <row r="225">
      <c r="A225" s="1"/>
      <c r="B225" s="1"/>
      <c r="C225" s="2"/>
      <c r="D225" s="1"/>
      <c r="E225" s="1"/>
      <c r="Q225" s="16"/>
    </row>
    <row r="226">
      <c r="A226" s="1"/>
      <c r="B226" s="1"/>
      <c r="C226" s="2"/>
      <c r="D226" s="1"/>
      <c r="E226" s="1"/>
      <c r="Q226" s="16"/>
    </row>
    <row r="227">
      <c r="A227" s="1"/>
      <c r="B227" s="1"/>
      <c r="C227" s="2"/>
      <c r="D227" s="1"/>
      <c r="E227" s="1"/>
      <c r="Q227" s="16"/>
    </row>
    <row r="228">
      <c r="A228" s="1"/>
      <c r="B228" s="1"/>
      <c r="C228" s="2"/>
      <c r="D228" s="1"/>
      <c r="E228" s="1"/>
      <c r="Q228" s="16"/>
    </row>
    <row r="229">
      <c r="A229" s="1"/>
      <c r="B229" s="1"/>
      <c r="C229" s="2"/>
      <c r="D229" s="1"/>
      <c r="E229" s="1"/>
      <c r="Q229" s="16"/>
    </row>
    <row r="230">
      <c r="A230" s="1"/>
      <c r="B230" s="1"/>
      <c r="C230" s="2"/>
      <c r="D230" s="1"/>
      <c r="E230" s="1"/>
      <c r="Q230" s="16"/>
    </row>
    <row r="231">
      <c r="A231" s="1"/>
      <c r="B231" s="1"/>
      <c r="C231" s="2"/>
      <c r="D231" s="1"/>
      <c r="E231" s="1"/>
      <c r="Q231" s="16"/>
    </row>
    <row r="232">
      <c r="A232" s="1"/>
      <c r="B232" s="1"/>
      <c r="C232" s="2"/>
      <c r="D232" s="1"/>
      <c r="E232" s="1"/>
      <c r="Q232" s="16"/>
    </row>
    <row r="233">
      <c r="A233" s="1"/>
      <c r="B233" s="1"/>
      <c r="C233" s="2"/>
      <c r="D233" s="1"/>
      <c r="E233" s="1"/>
      <c r="Q233" s="16"/>
    </row>
    <row r="234">
      <c r="A234" s="1"/>
      <c r="B234" s="1"/>
      <c r="C234" s="2"/>
      <c r="D234" s="1"/>
      <c r="E234" s="1"/>
      <c r="Q234" s="16"/>
    </row>
    <row r="235">
      <c r="A235" s="1"/>
      <c r="B235" s="1"/>
      <c r="C235" s="2"/>
      <c r="D235" s="1"/>
      <c r="E235" s="1"/>
      <c r="Q235" s="16"/>
    </row>
    <row r="236">
      <c r="A236" s="16"/>
      <c r="B236" s="16"/>
      <c r="C236" s="2"/>
      <c r="D236" s="16"/>
      <c r="E236" s="16"/>
      <c r="Q236" s="16"/>
    </row>
    <row r="237">
      <c r="A237" s="16"/>
      <c r="B237" s="16"/>
      <c r="C237" s="2"/>
      <c r="D237" s="16"/>
      <c r="E237" s="16"/>
      <c r="Q237" s="16"/>
    </row>
    <row r="238">
      <c r="A238" s="16"/>
      <c r="B238" s="16"/>
      <c r="C238" s="2"/>
      <c r="D238" s="16"/>
      <c r="E238" s="16"/>
      <c r="Q238" s="16"/>
    </row>
    <row r="239">
      <c r="A239" s="16"/>
      <c r="B239" s="16"/>
      <c r="C239" s="2"/>
      <c r="D239" s="16"/>
      <c r="E239" s="16"/>
      <c r="Q239" s="16"/>
    </row>
    <row r="240">
      <c r="A240" s="16"/>
      <c r="B240" s="16"/>
      <c r="C240" s="2"/>
      <c r="D240" s="16"/>
      <c r="E240" s="16"/>
      <c r="Q240" s="16"/>
    </row>
    <row r="241">
      <c r="A241" s="16"/>
      <c r="B241" s="16"/>
      <c r="C241" s="2"/>
      <c r="D241" s="16"/>
      <c r="E241" s="16"/>
      <c r="Q241" s="16"/>
    </row>
    <row r="242">
      <c r="A242" s="16"/>
      <c r="B242" s="16"/>
      <c r="C242" s="2"/>
      <c r="D242" s="16"/>
      <c r="E242" s="16"/>
      <c r="Q242" s="16"/>
    </row>
    <row r="243">
      <c r="A243" s="16"/>
      <c r="B243" s="16"/>
      <c r="C243" s="2"/>
      <c r="D243" s="16"/>
      <c r="E243" s="16"/>
      <c r="Q243" s="16"/>
    </row>
    <row r="244">
      <c r="A244" s="16"/>
      <c r="B244" s="16"/>
      <c r="C244" s="2"/>
      <c r="D244" s="16"/>
      <c r="E244" s="16"/>
      <c r="Q244" s="16"/>
    </row>
    <row r="245">
      <c r="A245" s="16"/>
      <c r="B245" s="16"/>
      <c r="C245" s="2"/>
      <c r="D245" s="16"/>
      <c r="E245" s="16"/>
      <c r="Q245" s="16"/>
    </row>
    <row r="246">
      <c r="A246" s="16"/>
      <c r="B246" s="16"/>
      <c r="C246" s="2"/>
      <c r="D246" s="16"/>
      <c r="E246" s="16"/>
      <c r="Q246" s="16"/>
    </row>
    <row r="247">
      <c r="A247" s="16"/>
      <c r="B247" s="16"/>
      <c r="C247" s="2"/>
      <c r="D247" s="16"/>
      <c r="E247" s="16"/>
      <c r="Q247" s="16"/>
    </row>
    <row r="248">
      <c r="A248" s="16"/>
      <c r="B248" s="16"/>
      <c r="C248" s="2"/>
      <c r="D248" s="16"/>
      <c r="E248" s="16"/>
      <c r="Q248" s="16"/>
    </row>
    <row r="249">
      <c r="A249" s="16"/>
      <c r="B249" s="16"/>
      <c r="C249" s="2"/>
      <c r="D249" s="16"/>
      <c r="E249" s="16"/>
      <c r="Q249" s="16"/>
    </row>
    <row r="250">
      <c r="A250" s="16"/>
      <c r="B250" s="16"/>
      <c r="C250" s="2"/>
      <c r="D250" s="16"/>
      <c r="E250" s="16"/>
      <c r="Q250" s="16"/>
    </row>
    <row r="251">
      <c r="A251" s="16"/>
      <c r="B251" s="16"/>
      <c r="C251" s="2"/>
      <c r="D251" s="16"/>
      <c r="E251" s="16"/>
      <c r="Q251" s="16"/>
    </row>
    <row r="252">
      <c r="A252" s="16"/>
      <c r="B252" s="16"/>
      <c r="C252" s="2"/>
      <c r="D252" s="16"/>
      <c r="E252" s="16"/>
      <c r="Q252" s="16"/>
    </row>
    <row r="253">
      <c r="A253" s="16"/>
      <c r="B253" s="16"/>
      <c r="C253" s="2"/>
      <c r="D253" s="16"/>
      <c r="E253" s="16"/>
      <c r="Q253" s="16"/>
    </row>
    <row r="254">
      <c r="A254" s="16"/>
      <c r="B254" s="16"/>
      <c r="C254" s="2"/>
      <c r="D254" s="16"/>
      <c r="E254" s="16"/>
      <c r="Q254" s="16"/>
    </row>
    <row r="255">
      <c r="A255" s="16"/>
      <c r="B255" s="16"/>
      <c r="C255" s="2"/>
      <c r="D255" s="16"/>
      <c r="E255" s="16"/>
      <c r="Q255" s="16"/>
    </row>
    <row r="256">
      <c r="A256" s="16"/>
      <c r="B256" s="16"/>
      <c r="C256" s="2"/>
      <c r="D256" s="16"/>
      <c r="E256" s="16"/>
      <c r="Q256" s="16"/>
    </row>
    <row r="257">
      <c r="A257" s="16"/>
      <c r="B257" s="16"/>
      <c r="C257" s="2"/>
      <c r="D257" s="16"/>
      <c r="E257" s="16"/>
      <c r="Q257" s="16"/>
    </row>
    <row r="258">
      <c r="A258" s="16"/>
      <c r="B258" s="16"/>
      <c r="C258" s="2"/>
      <c r="D258" s="16"/>
      <c r="E258" s="16"/>
      <c r="Q258" s="16"/>
    </row>
    <row r="259">
      <c r="A259" s="16"/>
      <c r="B259" s="16"/>
      <c r="C259" s="2"/>
      <c r="D259" s="16"/>
      <c r="E259" s="16"/>
      <c r="Q259" s="16"/>
    </row>
    <row r="260">
      <c r="A260" s="16"/>
      <c r="B260" s="16"/>
      <c r="C260" s="2"/>
      <c r="D260" s="16"/>
      <c r="E260" s="16"/>
      <c r="Q260" s="16"/>
    </row>
    <row r="261">
      <c r="A261" s="16"/>
      <c r="B261" s="16"/>
      <c r="C261" s="2"/>
      <c r="D261" s="16"/>
      <c r="E261" s="16"/>
      <c r="Q261" s="16"/>
    </row>
    <row r="262">
      <c r="A262" s="16"/>
      <c r="B262" s="16"/>
      <c r="C262" s="2"/>
      <c r="D262" s="16"/>
      <c r="E262" s="16"/>
      <c r="Q262" s="16"/>
    </row>
    <row r="263">
      <c r="A263" s="16"/>
      <c r="B263" s="16"/>
      <c r="C263" s="2"/>
      <c r="D263" s="16"/>
      <c r="E263" s="16"/>
      <c r="Q263" s="16"/>
    </row>
    <row r="264">
      <c r="A264" s="16"/>
      <c r="B264" s="16"/>
      <c r="C264" s="2"/>
      <c r="D264" s="16"/>
      <c r="E264" s="16"/>
      <c r="Q264" s="16"/>
    </row>
    <row r="265">
      <c r="A265" s="16"/>
      <c r="B265" s="16"/>
      <c r="C265" s="2"/>
      <c r="D265" s="16"/>
      <c r="E265" s="16"/>
      <c r="Q265" s="16"/>
    </row>
    <row r="266">
      <c r="A266" s="16"/>
      <c r="B266" s="16"/>
      <c r="C266" s="2"/>
      <c r="D266" s="16"/>
      <c r="E266" s="16"/>
      <c r="Q266" s="16"/>
    </row>
    <row r="267">
      <c r="A267" s="16"/>
      <c r="B267" s="16"/>
      <c r="C267" s="2"/>
      <c r="D267" s="16"/>
      <c r="E267" s="16"/>
      <c r="Q267" s="16"/>
    </row>
    <row r="268">
      <c r="A268" s="16"/>
      <c r="B268" s="16"/>
      <c r="C268" s="2"/>
      <c r="D268" s="16"/>
      <c r="E268" s="16"/>
      <c r="Q268" s="16"/>
    </row>
    <row r="269">
      <c r="A269" s="16"/>
      <c r="B269" s="16"/>
      <c r="C269" s="2"/>
      <c r="D269" s="16"/>
      <c r="E269" s="16"/>
      <c r="Q269" s="16"/>
    </row>
    <row r="270">
      <c r="A270" s="14"/>
      <c r="B270" s="18"/>
      <c r="C270" s="11"/>
      <c r="D270" s="18"/>
      <c r="E270" s="14"/>
      <c r="Q270" s="16"/>
    </row>
    <row r="271">
      <c r="A271" s="14"/>
      <c r="B271" s="18"/>
      <c r="C271" s="11"/>
      <c r="D271" s="18"/>
      <c r="E271" s="14"/>
      <c r="Q271" s="16"/>
    </row>
    <row r="272">
      <c r="A272" s="14"/>
      <c r="B272" s="18"/>
      <c r="C272" s="11"/>
      <c r="D272" s="18"/>
      <c r="E272" s="14"/>
      <c r="Q272" s="16"/>
    </row>
    <row r="273">
      <c r="A273" s="14"/>
      <c r="B273" s="19"/>
      <c r="C273" s="11"/>
      <c r="D273" s="18"/>
      <c r="E273" s="14"/>
      <c r="Q273" s="16"/>
    </row>
    <row r="274">
      <c r="A274" s="14"/>
      <c r="B274" s="18"/>
      <c r="C274" s="11"/>
      <c r="D274" s="18"/>
      <c r="E274" s="14"/>
      <c r="Q274" s="16"/>
    </row>
    <row r="275">
      <c r="A275" s="14"/>
      <c r="B275" s="18"/>
      <c r="C275" s="11"/>
      <c r="D275" s="18"/>
      <c r="E275" s="14"/>
      <c r="Q275" s="16"/>
    </row>
    <row r="276">
      <c r="A276" s="14"/>
      <c r="B276" s="18"/>
      <c r="C276" s="11"/>
      <c r="D276" s="18"/>
      <c r="E276" s="14"/>
      <c r="Q276" s="16"/>
    </row>
    <row r="277">
      <c r="A277" s="14"/>
      <c r="B277" s="19"/>
      <c r="C277" s="11"/>
      <c r="D277" s="18"/>
      <c r="E277" s="14"/>
      <c r="Q277" s="16"/>
    </row>
    <row r="278">
      <c r="A278" s="14"/>
      <c r="B278" s="18"/>
      <c r="C278" s="11"/>
      <c r="D278" s="18"/>
      <c r="E278" s="14"/>
      <c r="Q278" s="16"/>
    </row>
    <row r="279">
      <c r="A279" s="14"/>
      <c r="B279" s="18"/>
      <c r="C279" s="11"/>
      <c r="D279" s="18"/>
      <c r="E279" s="14"/>
      <c r="Q279" s="16"/>
    </row>
    <row r="280">
      <c r="A280" s="14"/>
      <c r="B280" s="19"/>
      <c r="C280" s="11"/>
      <c r="D280" s="18"/>
      <c r="E280" s="14"/>
      <c r="Q280" s="16"/>
    </row>
    <row r="281">
      <c r="A281" s="14"/>
      <c r="B281" s="18"/>
      <c r="C281" s="11"/>
      <c r="D281" s="18"/>
      <c r="E281" s="14"/>
      <c r="Q281" s="16"/>
    </row>
    <row r="282">
      <c r="A282" s="14"/>
      <c r="B282" s="18"/>
      <c r="C282" s="11"/>
      <c r="D282" s="18"/>
      <c r="E282" s="14"/>
      <c r="Q282" s="16"/>
    </row>
    <row r="283">
      <c r="A283" s="14"/>
      <c r="B283" s="18"/>
      <c r="C283" s="11"/>
      <c r="D283" s="18"/>
      <c r="E283" s="14"/>
      <c r="Q283" s="16"/>
    </row>
    <row r="284">
      <c r="A284" s="14"/>
      <c r="B284" s="18"/>
      <c r="C284" s="11"/>
      <c r="D284" s="18"/>
      <c r="E284" s="14"/>
      <c r="Q284" s="16"/>
    </row>
    <row r="285">
      <c r="A285" s="14"/>
      <c r="B285" s="18"/>
      <c r="C285" s="11"/>
      <c r="D285" s="18"/>
      <c r="E285" s="14"/>
      <c r="Q285" s="16"/>
    </row>
    <row r="286">
      <c r="A286" s="14"/>
      <c r="B286" s="18"/>
      <c r="C286" s="11"/>
      <c r="D286" s="18"/>
      <c r="E286" s="14"/>
      <c r="Q286" s="16"/>
    </row>
    <row r="287">
      <c r="A287" s="14"/>
      <c r="B287" s="18"/>
      <c r="C287" s="11"/>
      <c r="D287" s="18"/>
      <c r="E287" s="14"/>
      <c r="Q287" s="16"/>
    </row>
    <row r="288">
      <c r="A288" s="14"/>
      <c r="B288" s="18"/>
      <c r="C288" s="11"/>
      <c r="D288" s="18"/>
      <c r="E288" s="14"/>
      <c r="Q288" s="16"/>
    </row>
    <row r="289">
      <c r="A289" s="14"/>
      <c r="B289" s="19"/>
      <c r="C289" s="11"/>
      <c r="D289" s="18"/>
      <c r="E289" s="14"/>
      <c r="Q289" s="16"/>
    </row>
    <row r="290">
      <c r="A290" s="14"/>
      <c r="B290" s="19"/>
      <c r="C290" s="11"/>
      <c r="D290" s="18"/>
      <c r="E290" s="14"/>
      <c r="Q290" s="16"/>
    </row>
    <row r="291">
      <c r="A291" s="14"/>
      <c r="B291" s="18"/>
      <c r="C291" s="11"/>
      <c r="D291" s="18"/>
      <c r="E291" s="14"/>
      <c r="Q291" s="16"/>
    </row>
    <row r="292">
      <c r="A292" s="14"/>
      <c r="B292" s="18"/>
      <c r="C292" s="11"/>
      <c r="D292" s="18"/>
      <c r="E292" s="14"/>
      <c r="Q292" s="16"/>
    </row>
    <row r="293">
      <c r="A293" s="14"/>
      <c r="B293" s="18"/>
      <c r="C293" s="11"/>
      <c r="D293" s="18"/>
      <c r="E293" s="14"/>
      <c r="Q293" s="16"/>
    </row>
    <row r="294">
      <c r="A294" s="14"/>
      <c r="B294" s="18"/>
      <c r="C294" s="11"/>
      <c r="D294" s="18"/>
      <c r="E294" s="14"/>
      <c r="Q294" s="16"/>
    </row>
    <row r="295">
      <c r="A295" s="14"/>
      <c r="B295" s="18"/>
      <c r="C295" s="11"/>
      <c r="D295" s="18"/>
      <c r="E295" s="14"/>
      <c r="Q295" s="16"/>
    </row>
    <row r="296">
      <c r="A296" s="14"/>
      <c r="B296" s="18"/>
      <c r="C296" s="11"/>
      <c r="D296" s="18"/>
      <c r="E296" s="14"/>
      <c r="Q296" s="16"/>
    </row>
    <row r="297">
      <c r="A297" s="14"/>
      <c r="B297" s="18"/>
      <c r="C297" s="11"/>
      <c r="D297" s="18"/>
      <c r="E297" s="14"/>
      <c r="Q297" s="16"/>
    </row>
    <row r="298">
      <c r="A298" s="14"/>
      <c r="B298" s="18"/>
      <c r="C298" s="11"/>
      <c r="D298" s="18"/>
      <c r="E298" s="14"/>
      <c r="Q298" s="16"/>
    </row>
    <row r="299">
      <c r="A299" s="14"/>
      <c r="B299" s="18"/>
      <c r="C299" s="11"/>
      <c r="D299" s="18"/>
      <c r="E299" s="14"/>
      <c r="Q299" s="16"/>
    </row>
    <row r="300">
      <c r="A300" s="14"/>
      <c r="B300" s="18"/>
      <c r="C300" s="11"/>
      <c r="D300" s="18"/>
      <c r="E300" s="14"/>
      <c r="Q300" s="16"/>
    </row>
    <row r="301">
      <c r="A301" s="14"/>
      <c r="B301" s="18"/>
      <c r="C301" s="11"/>
      <c r="D301" s="18"/>
      <c r="E301" s="14"/>
      <c r="Q301" s="16"/>
    </row>
    <row r="302">
      <c r="A302" s="14"/>
      <c r="B302" s="18"/>
      <c r="C302" s="11"/>
      <c r="D302" s="18"/>
      <c r="E302" s="14"/>
      <c r="Q302" s="16"/>
    </row>
    <row r="303">
      <c r="A303" s="14"/>
      <c r="B303" s="18"/>
      <c r="C303" s="11"/>
      <c r="D303" s="18"/>
      <c r="E303" s="14"/>
      <c r="Q303" s="16"/>
    </row>
    <row r="304">
      <c r="A304" s="14"/>
      <c r="B304" s="18"/>
      <c r="C304" s="11"/>
      <c r="D304" s="18"/>
      <c r="E304" s="14"/>
      <c r="F304" s="14"/>
      <c r="Q304" s="16"/>
    </row>
    <row r="305">
      <c r="A305" s="14"/>
      <c r="B305" s="18"/>
      <c r="C305" s="11"/>
      <c r="D305" s="18"/>
      <c r="E305" s="14"/>
      <c r="Q305" s="16"/>
    </row>
    <row r="306">
      <c r="A306" s="14"/>
      <c r="B306" s="18"/>
      <c r="C306" s="11"/>
      <c r="D306" s="18"/>
      <c r="E306" s="14"/>
      <c r="Q306" s="16"/>
    </row>
    <row r="307">
      <c r="A307" s="14"/>
      <c r="B307" s="18"/>
      <c r="C307" s="11"/>
      <c r="D307" s="18"/>
      <c r="E307" s="14"/>
      <c r="Q307" s="16"/>
    </row>
    <row r="308">
      <c r="A308" s="14"/>
      <c r="B308" s="18"/>
      <c r="C308" s="11"/>
      <c r="D308" s="18"/>
      <c r="E308" s="14"/>
      <c r="Q308" s="16"/>
    </row>
    <row r="309">
      <c r="A309" s="14"/>
      <c r="B309" s="18"/>
      <c r="C309" s="11"/>
      <c r="D309" s="18"/>
      <c r="E309" s="14"/>
      <c r="Q309" s="16"/>
    </row>
    <row r="310">
      <c r="A310" s="14"/>
      <c r="B310" s="18"/>
      <c r="C310" s="11"/>
      <c r="D310" s="18"/>
      <c r="E310" s="14"/>
      <c r="Q310" s="16"/>
    </row>
    <row r="311">
      <c r="A311" s="14"/>
      <c r="B311" s="18"/>
      <c r="C311" s="11"/>
      <c r="D311" s="18"/>
      <c r="E311" s="14"/>
      <c r="Q311" s="16"/>
    </row>
    <row r="312">
      <c r="A312" s="14"/>
      <c r="B312" s="18"/>
      <c r="C312" s="11"/>
      <c r="D312" s="18"/>
      <c r="E312" s="14"/>
      <c r="Q312" s="16"/>
    </row>
    <row r="313">
      <c r="A313" s="14"/>
      <c r="B313" s="18"/>
      <c r="C313" s="11"/>
      <c r="D313" s="18"/>
      <c r="E313" s="14"/>
      <c r="Q313" s="16"/>
    </row>
    <row r="314">
      <c r="A314" s="14"/>
      <c r="B314" s="18"/>
      <c r="C314" s="11"/>
      <c r="D314" s="18"/>
      <c r="E314" s="14"/>
      <c r="Q314" s="16"/>
    </row>
    <row r="315">
      <c r="A315" s="14"/>
      <c r="B315" s="18"/>
      <c r="C315" s="11"/>
      <c r="D315" s="18"/>
      <c r="E315" s="14"/>
      <c r="Q315" s="16"/>
    </row>
    <row r="316">
      <c r="A316" s="14"/>
      <c r="B316" s="18"/>
      <c r="C316" s="11"/>
      <c r="D316" s="18"/>
      <c r="E316" s="14"/>
      <c r="Q316" s="16"/>
    </row>
    <row r="317">
      <c r="A317" s="14"/>
      <c r="B317" s="18"/>
      <c r="C317" s="11"/>
      <c r="D317" s="18"/>
      <c r="E317" s="14"/>
      <c r="Q317" s="16"/>
    </row>
    <row r="318">
      <c r="A318" s="14"/>
      <c r="B318" s="18"/>
      <c r="C318" s="11"/>
      <c r="D318" s="18"/>
      <c r="E318" s="14"/>
      <c r="Q318" s="16"/>
    </row>
    <row r="319">
      <c r="A319" s="14"/>
      <c r="B319" s="18"/>
      <c r="C319" s="11"/>
      <c r="D319" s="18"/>
      <c r="E319" s="14"/>
      <c r="Q319" s="16"/>
    </row>
    <row r="320">
      <c r="A320" s="14"/>
      <c r="B320" s="19"/>
      <c r="C320" s="11"/>
      <c r="D320" s="18"/>
      <c r="E320" s="14"/>
      <c r="Q320" s="16"/>
    </row>
    <row r="321">
      <c r="A321" s="14"/>
      <c r="B321" s="18"/>
      <c r="C321" s="11"/>
      <c r="D321" s="18"/>
      <c r="E321" s="14"/>
      <c r="Q321" s="16"/>
    </row>
    <row r="322">
      <c r="A322" s="14"/>
      <c r="B322" s="18"/>
      <c r="C322" s="11"/>
      <c r="D322" s="18"/>
      <c r="E322" s="14"/>
      <c r="Q322" s="16"/>
    </row>
    <row r="323">
      <c r="A323" s="14"/>
      <c r="B323" s="19"/>
      <c r="C323" s="11"/>
      <c r="D323" s="18"/>
      <c r="E323" s="14"/>
      <c r="Q323" s="16"/>
    </row>
    <row r="324">
      <c r="A324" s="14"/>
      <c r="B324" s="18"/>
      <c r="C324" s="11"/>
      <c r="D324" s="18"/>
      <c r="E324" s="14"/>
      <c r="Q324" s="16"/>
    </row>
    <row r="325">
      <c r="A325" s="14"/>
      <c r="B325" s="18"/>
      <c r="C325" s="11"/>
      <c r="D325" s="18"/>
      <c r="E325" s="14"/>
      <c r="Q325" s="16"/>
    </row>
    <row r="326">
      <c r="A326" s="14"/>
      <c r="B326" s="18"/>
      <c r="C326" s="11"/>
      <c r="D326" s="18"/>
      <c r="E326" s="14"/>
      <c r="Q326" s="16"/>
    </row>
    <row r="327">
      <c r="A327" s="14"/>
      <c r="B327" s="19"/>
      <c r="C327" s="11"/>
      <c r="D327" s="18"/>
      <c r="E327" s="14"/>
      <c r="Q327" s="16"/>
    </row>
    <row r="328">
      <c r="A328" s="14"/>
      <c r="B328" s="18"/>
      <c r="C328" s="11"/>
      <c r="D328" s="18"/>
      <c r="E328" s="14"/>
      <c r="Q328" s="16"/>
    </row>
    <row r="329">
      <c r="A329" s="14"/>
      <c r="B329" s="18"/>
      <c r="C329" s="11"/>
      <c r="D329" s="18"/>
      <c r="E329" s="14"/>
      <c r="Q329" s="16"/>
    </row>
    <row r="330">
      <c r="A330" s="14"/>
      <c r="B330" s="19"/>
      <c r="C330" s="11"/>
      <c r="D330" s="18"/>
      <c r="E330" s="14"/>
      <c r="Q330" s="16"/>
    </row>
    <row r="331">
      <c r="A331" s="14"/>
      <c r="B331" s="18"/>
      <c r="C331" s="11"/>
      <c r="D331" s="18"/>
      <c r="E331" s="14"/>
      <c r="Q331" s="16"/>
    </row>
    <row r="332">
      <c r="A332" s="14"/>
      <c r="B332" s="18"/>
      <c r="C332" s="11"/>
      <c r="D332" s="18"/>
      <c r="E332" s="14"/>
      <c r="Q332" s="16"/>
    </row>
    <row r="333">
      <c r="A333" s="14"/>
      <c r="B333" s="18"/>
      <c r="C333" s="11"/>
      <c r="D333" s="18"/>
      <c r="E333" s="14"/>
      <c r="Q333" s="16"/>
    </row>
    <row r="334">
      <c r="A334" s="14"/>
      <c r="B334" s="20"/>
      <c r="C334" s="13"/>
      <c r="D334" s="20"/>
      <c r="E334" s="18"/>
      <c r="F334" s="14"/>
    </row>
    <row r="335">
      <c r="A335" s="14"/>
      <c r="B335" s="20"/>
      <c r="C335" s="13"/>
      <c r="D335" s="20"/>
      <c r="E335" s="18"/>
      <c r="F335" s="14"/>
    </row>
    <row r="336">
      <c r="A336" s="14"/>
      <c r="B336" s="20"/>
      <c r="C336" s="13"/>
      <c r="D336" s="20"/>
      <c r="E336" s="18"/>
      <c r="F336" s="14"/>
    </row>
    <row r="337">
      <c r="A337" s="14"/>
      <c r="B337" s="20"/>
      <c r="C337" s="13"/>
      <c r="D337" s="20"/>
      <c r="E337" s="18"/>
      <c r="F337" s="14"/>
    </row>
    <row r="338">
      <c r="A338" s="14"/>
      <c r="B338" s="20"/>
      <c r="C338" s="13"/>
      <c r="D338" s="20"/>
      <c r="E338" s="18"/>
      <c r="F338" s="14"/>
    </row>
    <row r="339">
      <c r="A339" s="14"/>
      <c r="B339" s="20"/>
      <c r="C339" s="13"/>
      <c r="D339" s="20"/>
      <c r="E339" s="18"/>
      <c r="F339" s="14"/>
    </row>
    <row r="340">
      <c r="A340" s="14"/>
      <c r="B340" s="20"/>
      <c r="C340" s="13"/>
      <c r="D340" s="20"/>
      <c r="E340" s="18"/>
      <c r="F340" s="14"/>
    </row>
    <row r="341">
      <c r="A341" s="14"/>
      <c r="B341" s="20"/>
      <c r="C341" s="13"/>
      <c r="D341" s="20"/>
      <c r="E341" s="18"/>
      <c r="F341" s="14"/>
    </row>
    <row r="342">
      <c r="A342" s="14"/>
      <c r="B342" s="20"/>
      <c r="C342" s="13"/>
      <c r="D342" s="20"/>
      <c r="E342" s="18"/>
      <c r="F342" s="14"/>
    </row>
    <row r="343">
      <c r="A343" s="14"/>
      <c r="B343" s="20"/>
      <c r="C343" s="13"/>
      <c r="D343" s="20"/>
      <c r="E343" s="18"/>
      <c r="F343" s="14"/>
    </row>
    <row r="344">
      <c r="A344" s="14"/>
      <c r="B344" s="20"/>
      <c r="C344" s="13"/>
      <c r="D344" s="20"/>
      <c r="E344" s="18"/>
      <c r="F344" s="14"/>
    </row>
    <row r="345">
      <c r="A345" s="14"/>
      <c r="B345" s="20"/>
      <c r="C345" s="13"/>
      <c r="D345" s="20"/>
      <c r="E345" s="18"/>
      <c r="F345" s="14"/>
    </row>
    <row r="346">
      <c r="A346" s="14"/>
      <c r="B346" s="20"/>
      <c r="C346" s="13"/>
      <c r="D346" s="20"/>
      <c r="E346" s="18"/>
      <c r="F346" s="14"/>
    </row>
    <row r="347">
      <c r="A347" s="14"/>
      <c r="B347" s="20"/>
      <c r="C347" s="13"/>
      <c r="D347" s="20"/>
      <c r="E347" s="18"/>
      <c r="F347" s="14"/>
    </row>
    <row r="348">
      <c r="A348" s="14"/>
      <c r="B348" s="20"/>
      <c r="C348" s="13"/>
      <c r="D348" s="20"/>
      <c r="E348" s="18"/>
      <c r="F348" s="14"/>
    </row>
    <row r="349">
      <c r="A349" s="14"/>
      <c r="B349" s="20"/>
      <c r="C349" s="13"/>
      <c r="D349" s="20"/>
      <c r="E349" s="18"/>
      <c r="F349" s="14"/>
    </row>
    <row r="350">
      <c r="A350" s="14"/>
      <c r="B350" s="20"/>
      <c r="C350" s="13"/>
      <c r="D350" s="20"/>
      <c r="E350" s="18"/>
      <c r="F350" s="14"/>
    </row>
    <row r="351">
      <c r="A351" s="14"/>
      <c r="B351" s="20"/>
      <c r="C351" s="13"/>
      <c r="D351" s="20"/>
      <c r="E351" s="18"/>
      <c r="F351" s="14"/>
    </row>
    <row r="352">
      <c r="A352" s="14"/>
      <c r="B352" s="20"/>
      <c r="C352" s="13"/>
      <c r="D352" s="20"/>
      <c r="E352" s="18"/>
      <c r="F352" s="14"/>
    </row>
    <row r="353">
      <c r="A353" s="14"/>
      <c r="B353" s="20"/>
      <c r="C353" s="13"/>
      <c r="D353" s="20"/>
      <c r="E353" s="18"/>
      <c r="F353" s="14"/>
    </row>
    <row r="354">
      <c r="A354" s="14"/>
      <c r="B354" s="20"/>
      <c r="C354" s="13"/>
      <c r="D354" s="20"/>
      <c r="E354" s="18"/>
      <c r="F354" s="14"/>
    </row>
    <row r="355">
      <c r="A355" s="14"/>
      <c r="B355" s="20"/>
      <c r="C355" s="13"/>
      <c r="D355" s="20"/>
      <c r="E355" s="18"/>
      <c r="F355" s="14"/>
    </row>
    <row r="356">
      <c r="A356" s="14"/>
      <c r="B356" s="20"/>
      <c r="C356" s="13"/>
      <c r="D356" s="20"/>
      <c r="E356" s="18"/>
      <c r="F356" s="14"/>
    </row>
    <row r="357">
      <c r="A357" s="14"/>
      <c r="B357" s="20"/>
      <c r="C357" s="13"/>
      <c r="D357" s="20"/>
      <c r="E357" s="18"/>
      <c r="F357" s="14"/>
    </row>
    <row r="358">
      <c r="A358" s="14"/>
      <c r="B358" s="20"/>
      <c r="C358" s="13"/>
      <c r="D358" s="20"/>
      <c r="E358" s="18"/>
      <c r="F358" s="14"/>
    </row>
    <row r="359">
      <c r="A359" s="14"/>
      <c r="B359" s="20"/>
      <c r="C359" s="13"/>
      <c r="D359" s="20"/>
      <c r="E359" s="18"/>
      <c r="F359" s="14"/>
    </row>
    <row r="360">
      <c r="A360" s="14"/>
      <c r="B360" s="20"/>
      <c r="C360" s="13"/>
      <c r="D360" s="20"/>
      <c r="E360" s="18"/>
      <c r="F360" s="14"/>
    </row>
    <row r="361">
      <c r="A361" s="14"/>
      <c r="B361" s="20"/>
      <c r="C361" s="13"/>
      <c r="D361" s="20"/>
      <c r="E361" s="18"/>
      <c r="F361" s="14"/>
    </row>
    <row r="362">
      <c r="A362" s="14"/>
      <c r="B362" s="20"/>
      <c r="C362" s="13"/>
      <c r="D362" s="20"/>
      <c r="E362" s="18"/>
      <c r="F362" s="14"/>
    </row>
    <row r="363">
      <c r="A363" s="14"/>
      <c r="B363" s="20"/>
      <c r="C363" s="13"/>
      <c r="D363" s="20"/>
      <c r="E363" s="18"/>
      <c r="F363" s="14"/>
    </row>
    <row r="364">
      <c r="A364" s="14"/>
      <c r="B364" s="20"/>
      <c r="C364" s="13"/>
      <c r="D364" s="20"/>
      <c r="E364" s="18"/>
      <c r="F364" s="14"/>
    </row>
    <row r="365">
      <c r="A365" s="14"/>
      <c r="B365" s="20"/>
      <c r="C365" s="13"/>
      <c r="D365" s="20"/>
      <c r="E365" s="18"/>
      <c r="F365" s="14"/>
    </row>
    <row r="366">
      <c r="A366" s="14"/>
      <c r="B366" s="20"/>
      <c r="C366" s="13"/>
      <c r="D366" s="20"/>
      <c r="E366" s="18"/>
      <c r="F366" s="14"/>
    </row>
    <row r="367">
      <c r="A367" s="14"/>
      <c r="B367" s="20"/>
      <c r="C367" s="13"/>
      <c r="D367" s="20"/>
      <c r="E367" s="18"/>
      <c r="F367" s="14"/>
    </row>
    <row r="368">
      <c r="A368" s="14"/>
      <c r="B368" s="20"/>
      <c r="C368" s="13"/>
      <c r="D368" s="20"/>
      <c r="E368" s="18"/>
      <c r="F368" s="14"/>
    </row>
    <row r="369">
      <c r="A369" s="14"/>
      <c r="B369" s="20"/>
      <c r="C369" s="13"/>
      <c r="D369" s="20"/>
      <c r="E369" s="14"/>
      <c r="F369" s="14"/>
    </row>
    <row r="370">
      <c r="A370" s="14"/>
      <c r="B370" s="20"/>
      <c r="C370" s="13"/>
      <c r="D370" s="20"/>
      <c r="E370" s="14"/>
      <c r="F370" s="14"/>
    </row>
    <row r="371">
      <c r="A371" s="14"/>
      <c r="B371" s="20"/>
      <c r="C371" s="13"/>
      <c r="D371" s="20"/>
      <c r="E371" s="14"/>
      <c r="F371" s="14"/>
    </row>
    <row r="372">
      <c r="A372" s="14"/>
      <c r="B372" s="20"/>
      <c r="C372" s="13"/>
      <c r="D372" s="20"/>
      <c r="E372" s="14"/>
      <c r="F372" s="14"/>
    </row>
    <row r="373">
      <c r="A373" s="14"/>
      <c r="B373" s="20"/>
      <c r="C373" s="13"/>
      <c r="D373" s="20"/>
      <c r="E373" s="14"/>
      <c r="F373" s="14"/>
    </row>
    <row r="374">
      <c r="A374" s="14"/>
      <c r="B374" s="20"/>
      <c r="C374" s="13"/>
      <c r="D374" s="20"/>
      <c r="E374" s="14"/>
      <c r="F374" s="14"/>
    </row>
    <row r="375">
      <c r="A375" s="14"/>
      <c r="B375" s="20"/>
      <c r="C375" s="13"/>
      <c r="D375" s="20"/>
      <c r="E375" s="14"/>
      <c r="F375" s="14"/>
    </row>
    <row r="376">
      <c r="A376" s="14"/>
      <c r="B376" s="20"/>
      <c r="C376" s="13"/>
      <c r="D376" s="20"/>
      <c r="E376" s="14"/>
      <c r="F376" s="14"/>
    </row>
    <row r="377">
      <c r="A377" s="14"/>
      <c r="B377" s="20"/>
      <c r="C377" s="13"/>
      <c r="D377" s="20"/>
      <c r="E377" s="14"/>
      <c r="F377" s="14"/>
    </row>
    <row r="378">
      <c r="A378" s="14"/>
      <c r="B378" s="20"/>
      <c r="C378" s="13"/>
      <c r="D378" s="20"/>
      <c r="E378" s="14"/>
      <c r="F378" s="14"/>
    </row>
    <row r="379">
      <c r="A379" s="14"/>
      <c r="B379" s="20"/>
      <c r="C379" s="13"/>
      <c r="D379" s="20"/>
      <c r="E379" s="14"/>
      <c r="F379" s="14"/>
    </row>
    <row r="380">
      <c r="A380" s="14"/>
      <c r="B380" s="20"/>
      <c r="C380" s="13"/>
      <c r="D380" s="20"/>
      <c r="E380" s="14"/>
      <c r="F380" s="14"/>
    </row>
    <row r="381">
      <c r="A381" s="14"/>
      <c r="B381" s="20"/>
      <c r="C381" s="13"/>
      <c r="D381" s="20"/>
      <c r="E381" s="14"/>
      <c r="F381" s="14"/>
    </row>
    <row r="382">
      <c r="A382" s="14"/>
      <c r="B382" s="20"/>
      <c r="C382" s="13"/>
      <c r="D382" s="20"/>
      <c r="E382" s="14"/>
      <c r="F382" s="14"/>
    </row>
    <row r="383">
      <c r="A383" s="14"/>
      <c r="B383" s="20"/>
      <c r="C383" s="13"/>
      <c r="D383" s="20"/>
      <c r="E383" s="14"/>
      <c r="F383" s="14"/>
    </row>
    <row r="384">
      <c r="A384" s="14"/>
      <c r="B384" s="20"/>
      <c r="C384" s="13"/>
      <c r="D384" s="20"/>
      <c r="E384" s="14"/>
      <c r="F384" s="14"/>
    </row>
    <row r="385">
      <c r="A385" s="14"/>
      <c r="B385" s="20"/>
      <c r="C385" s="13"/>
      <c r="D385" s="20"/>
      <c r="E385" s="14"/>
      <c r="F385" s="14"/>
    </row>
    <row r="386">
      <c r="A386" s="14"/>
      <c r="B386" s="20"/>
      <c r="C386" s="13"/>
      <c r="D386" s="20"/>
      <c r="E386" s="14"/>
      <c r="F386" s="14"/>
    </row>
    <row r="387">
      <c r="A387" s="14"/>
      <c r="B387" s="20"/>
      <c r="C387" s="13"/>
      <c r="D387" s="20"/>
      <c r="E387" s="14"/>
      <c r="F387" s="14"/>
    </row>
    <row r="388">
      <c r="A388" s="14"/>
      <c r="B388" s="20"/>
      <c r="C388" s="13"/>
      <c r="D388" s="20"/>
      <c r="E388" s="14"/>
      <c r="F388" s="14"/>
    </row>
    <row r="389">
      <c r="A389" s="14"/>
      <c r="B389" s="20"/>
      <c r="C389" s="13"/>
      <c r="D389" s="20"/>
      <c r="E389" s="14"/>
      <c r="F389" s="14"/>
    </row>
    <row r="390">
      <c r="A390" s="14"/>
      <c r="B390" s="20"/>
      <c r="C390" s="13"/>
      <c r="D390" s="20"/>
      <c r="E390" s="14"/>
      <c r="F390" s="14"/>
    </row>
    <row r="391">
      <c r="A391" s="14"/>
      <c r="B391" s="20"/>
      <c r="C391" s="13"/>
      <c r="D391" s="20"/>
      <c r="E391" s="14"/>
      <c r="F391" s="14"/>
    </row>
    <row r="392">
      <c r="A392" s="14"/>
      <c r="B392" s="20"/>
      <c r="C392" s="13"/>
      <c r="D392" s="20"/>
      <c r="E392" s="14"/>
      <c r="F392" s="14"/>
    </row>
    <row r="393">
      <c r="A393" s="14"/>
      <c r="B393" s="20"/>
      <c r="C393" s="13"/>
      <c r="D393" s="20"/>
      <c r="E393" s="14"/>
      <c r="F393" s="14"/>
    </row>
    <row r="394">
      <c r="A394" s="14"/>
      <c r="B394" s="20"/>
      <c r="C394" s="13"/>
      <c r="D394" s="20"/>
      <c r="E394" s="14"/>
      <c r="F394" s="14"/>
    </row>
    <row r="395">
      <c r="A395" s="14"/>
      <c r="B395" s="20"/>
      <c r="C395" s="13"/>
      <c r="D395" s="20"/>
      <c r="E395" s="14"/>
      <c r="F395" s="14"/>
    </row>
    <row r="396">
      <c r="A396" s="14"/>
      <c r="B396" s="20"/>
      <c r="C396" s="13"/>
      <c r="D396" s="20"/>
      <c r="E396" s="14"/>
      <c r="F396" s="14"/>
    </row>
    <row r="397">
      <c r="A397" s="14"/>
      <c r="B397" s="20"/>
      <c r="C397" s="13"/>
      <c r="D397" s="20"/>
      <c r="E397" s="14"/>
      <c r="F397" s="14"/>
    </row>
    <row r="398">
      <c r="A398" s="14"/>
      <c r="B398" s="20"/>
      <c r="C398" s="13"/>
      <c r="D398" s="20"/>
      <c r="E398" s="14"/>
      <c r="F398" s="14"/>
    </row>
    <row r="399">
      <c r="A399" s="14"/>
      <c r="B399" s="20"/>
      <c r="C399" s="13"/>
      <c r="D399" s="20"/>
      <c r="E399" s="14"/>
      <c r="F399" s="14"/>
    </row>
    <row r="400">
      <c r="A400" s="14"/>
      <c r="B400" s="20"/>
      <c r="C400" s="13"/>
      <c r="D400" s="20"/>
      <c r="E400" s="14"/>
      <c r="F400" s="14"/>
    </row>
    <row r="401">
      <c r="A401" s="14"/>
      <c r="B401" s="20"/>
      <c r="C401" s="13"/>
      <c r="D401" s="20"/>
      <c r="E401" s="14"/>
      <c r="F401" s="14"/>
    </row>
    <row r="402">
      <c r="A402" s="14"/>
      <c r="B402" s="20"/>
      <c r="C402" s="13"/>
      <c r="D402" s="20"/>
      <c r="E402" s="14"/>
      <c r="F402" s="14"/>
    </row>
    <row r="403">
      <c r="A403" s="14"/>
      <c r="B403" s="20"/>
      <c r="C403" s="13"/>
      <c r="D403" s="20"/>
      <c r="E403" s="14"/>
      <c r="F403" s="14"/>
    </row>
    <row r="404">
      <c r="A404" s="14"/>
      <c r="B404" s="20"/>
      <c r="C404" s="13"/>
      <c r="D404" s="20"/>
      <c r="E404" s="14"/>
      <c r="F404" s="14"/>
    </row>
    <row r="405">
      <c r="A405" s="14"/>
      <c r="B405" s="20"/>
      <c r="C405" s="13"/>
      <c r="D405" s="20"/>
      <c r="E405" s="14"/>
      <c r="F405" s="14"/>
    </row>
    <row r="406">
      <c r="A406" s="14"/>
      <c r="B406" s="20"/>
      <c r="C406" s="13"/>
      <c r="D406" s="20"/>
      <c r="E406" s="14"/>
      <c r="F406" s="14"/>
    </row>
    <row r="407">
      <c r="A407" s="14"/>
      <c r="B407" s="20"/>
      <c r="C407" s="13"/>
      <c r="D407" s="20"/>
      <c r="E407" s="14"/>
      <c r="F407" s="14"/>
    </row>
    <row r="408">
      <c r="A408" s="14"/>
      <c r="B408" s="20"/>
      <c r="C408" s="13"/>
      <c r="D408" s="20"/>
      <c r="E408" s="14"/>
      <c r="F408" s="14"/>
    </row>
    <row r="409">
      <c r="A409" s="14"/>
      <c r="B409" s="20"/>
      <c r="C409" s="13"/>
      <c r="D409" s="20"/>
      <c r="E409" s="14"/>
      <c r="F409" s="14"/>
    </row>
    <row r="410">
      <c r="A410" s="14"/>
      <c r="B410" s="20"/>
      <c r="C410" s="13"/>
      <c r="D410" s="20"/>
      <c r="E410" s="14"/>
      <c r="F410" s="14"/>
    </row>
    <row r="411">
      <c r="A411" s="14"/>
      <c r="B411" s="20"/>
      <c r="C411" s="13"/>
      <c r="D411" s="20"/>
      <c r="E411" s="14"/>
      <c r="F411" s="14"/>
    </row>
    <row r="412">
      <c r="A412" s="14"/>
      <c r="B412" s="20"/>
      <c r="C412" s="13"/>
      <c r="D412" s="20"/>
      <c r="E412" s="14"/>
      <c r="F412" s="14"/>
    </row>
    <row r="413">
      <c r="A413" s="14"/>
      <c r="B413" s="20"/>
      <c r="C413" s="13"/>
      <c r="D413" s="20"/>
      <c r="E413" s="14"/>
      <c r="F413" s="14"/>
    </row>
    <row r="414">
      <c r="A414" s="14"/>
      <c r="B414" s="20"/>
      <c r="C414" s="13"/>
      <c r="D414" s="20"/>
      <c r="E414" s="14"/>
      <c r="F414" s="14"/>
    </row>
    <row r="415">
      <c r="A415" s="14"/>
      <c r="B415" s="20"/>
      <c r="C415" s="13"/>
      <c r="D415" s="20"/>
      <c r="E415" s="14"/>
      <c r="F415" s="14"/>
    </row>
    <row r="416">
      <c r="A416" s="14"/>
      <c r="B416" s="20"/>
      <c r="C416" s="13"/>
      <c r="D416" s="20"/>
      <c r="E416" s="14"/>
      <c r="F416" s="14"/>
    </row>
    <row r="417">
      <c r="A417" s="14"/>
      <c r="B417" s="20"/>
      <c r="C417" s="13"/>
      <c r="D417" s="20"/>
      <c r="E417" s="14"/>
      <c r="F417" s="14"/>
    </row>
    <row r="418">
      <c r="A418" s="14"/>
      <c r="B418" s="20"/>
      <c r="C418" s="13"/>
      <c r="D418" s="20"/>
      <c r="E418" s="14"/>
      <c r="F418" s="14"/>
    </row>
    <row r="419">
      <c r="A419" s="14"/>
      <c r="B419" s="20"/>
      <c r="C419" s="13"/>
      <c r="D419" s="20"/>
      <c r="E419" s="14"/>
      <c r="F419" s="14"/>
    </row>
    <row r="420">
      <c r="A420" s="14"/>
      <c r="B420" s="20"/>
      <c r="C420" s="13"/>
      <c r="D420" s="20"/>
      <c r="E420" s="14"/>
      <c r="F420" s="14"/>
    </row>
    <row r="421">
      <c r="A421" s="14"/>
      <c r="B421" s="20"/>
      <c r="C421" s="13"/>
      <c r="D421" s="20"/>
      <c r="E421" s="14"/>
      <c r="F421" s="14"/>
    </row>
    <row r="422">
      <c r="A422" s="14"/>
      <c r="B422" s="20"/>
      <c r="C422" s="13"/>
      <c r="D422" s="20"/>
      <c r="E422" s="14"/>
      <c r="F422" s="14"/>
    </row>
    <row r="423">
      <c r="A423" s="14"/>
      <c r="B423" s="20"/>
      <c r="C423" s="13"/>
      <c r="D423" s="20"/>
      <c r="E423" s="14"/>
      <c r="F423" s="14"/>
    </row>
    <row r="424">
      <c r="A424" s="14"/>
      <c r="B424" s="20"/>
      <c r="C424" s="13"/>
      <c r="D424" s="20"/>
      <c r="E424" s="14"/>
      <c r="F424" s="14"/>
    </row>
    <row r="425">
      <c r="A425" s="14"/>
      <c r="B425" s="20"/>
      <c r="C425" s="13"/>
      <c r="D425" s="20"/>
      <c r="E425" s="14"/>
      <c r="F425" s="14"/>
    </row>
    <row r="426">
      <c r="A426" s="14"/>
      <c r="B426" s="20"/>
      <c r="C426" s="13"/>
      <c r="D426" s="20"/>
      <c r="E426" s="14"/>
      <c r="F426" s="14"/>
    </row>
    <row r="427">
      <c r="A427" s="14"/>
      <c r="B427" s="20"/>
      <c r="C427" s="13"/>
      <c r="D427" s="20"/>
      <c r="E427" s="14"/>
      <c r="F427" s="14"/>
    </row>
    <row r="428">
      <c r="A428" s="14"/>
      <c r="B428" s="20"/>
      <c r="C428" s="13"/>
      <c r="D428" s="20"/>
      <c r="E428" s="14"/>
      <c r="F428" s="14"/>
    </row>
    <row r="429">
      <c r="A429" s="14"/>
      <c r="B429" s="20"/>
      <c r="C429" s="13"/>
      <c r="D429" s="20"/>
      <c r="E429" s="14"/>
      <c r="F429" s="14"/>
    </row>
    <row r="430">
      <c r="A430" s="14"/>
      <c r="B430" s="20"/>
      <c r="C430" s="13"/>
      <c r="D430" s="20"/>
      <c r="E430" s="14"/>
      <c r="F430" s="14"/>
    </row>
    <row r="431">
      <c r="A431" s="14"/>
      <c r="B431" s="20"/>
      <c r="C431" s="13"/>
      <c r="D431" s="20"/>
      <c r="E431" s="14"/>
      <c r="F431" s="14"/>
    </row>
    <row r="432">
      <c r="A432" s="14"/>
      <c r="B432" s="20"/>
      <c r="C432" s="13"/>
      <c r="D432" s="20"/>
      <c r="E432" s="14"/>
      <c r="F432" s="14"/>
    </row>
    <row r="433">
      <c r="A433" s="14"/>
      <c r="B433" s="20"/>
      <c r="C433" s="13"/>
      <c r="D433" s="20"/>
      <c r="E433" s="14"/>
      <c r="F433" s="14"/>
    </row>
    <row r="434">
      <c r="A434" s="14"/>
      <c r="B434" s="20"/>
      <c r="C434" s="13"/>
      <c r="D434" s="20"/>
      <c r="E434" s="14"/>
      <c r="F434" s="14"/>
    </row>
    <row r="435">
      <c r="A435" s="14"/>
      <c r="B435" s="20"/>
      <c r="C435" s="13"/>
      <c r="D435" s="20"/>
      <c r="E435" s="14"/>
      <c r="F435" s="14"/>
    </row>
    <row r="436">
      <c r="A436" s="14"/>
      <c r="B436" s="20"/>
      <c r="C436" s="13"/>
      <c r="D436" s="20"/>
      <c r="E436" s="14"/>
      <c r="F436" s="14"/>
    </row>
    <row r="437">
      <c r="A437" s="14"/>
      <c r="B437" s="20"/>
      <c r="C437" s="13"/>
      <c r="D437" s="20"/>
      <c r="E437" s="14"/>
      <c r="F437" s="14"/>
    </row>
    <row r="438">
      <c r="A438" s="14"/>
      <c r="B438" s="20"/>
      <c r="C438" s="13"/>
      <c r="D438" s="20"/>
      <c r="E438" s="14"/>
      <c r="F438" s="14"/>
    </row>
    <row r="439">
      <c r="A439" s="14"/>
      <c r="B439" s="20"/>
      <c r="C439" s="13"/>
      <c r="D439" s="20"/>
      <c r="E439" s="14"/>
      <c r="F439" s="14"/>
    </row>
    <row r="440">
      <c r="A440" s="14"/>
      <c r="B440" s="20"/>
      <c r="C440" s="13"/>
      <c r="D440" s="20"/>
      <c r="E440" s="14"/>
      <c r="F440" s="14"/>
    </row>
    <row r="441">
      <c r="A441" s="14"/>
      <c r="B441" s="20"/>
      <c r="C441" s="13"/>
      <c r="D441" s="20"/>
      <c r="E441" s="14"/>
      <c r="F441" s="14"/>
    </row>
    <row r="442">
      <c r="A442" s="14"/>
      <c r="B442" s="20"/>
      <c r="C442" s="13"/>
      <c r="D442" s="20"/>
      <c r="E442" s="14"/>
      <c r="F442" s="14"/>
    </row>
    <row r="443">
      <c r="A443" s="14"/>
      <c r="B443" s="20"/>
      <c r="C443" s="13"/>
      <c r="D443" s="20"/>
      <c r="E443" s="14"/>
      <c r="F443" s="14"/>
    </row>
    <row r="444">
      <c r="A444" s="14"/>
      <c r="B444" s="20"/>
      <c r="C444" s="13"/>
      <c r="D444" s="20"/>
      <c r="E444" s="14"/>
      <c r="F444" s="14"/>
    </row>
    <row r="445">
      <c r="A445" s="14"/>
      <c r="B445" s="20"/>
      <c r="C445" s="13"/>
      <c r="D445" s="20"/>
      <c r="E445" s="14"/>
      <c r="F445" s="14"/>
    </row>
    <row r="446">
      <c r="A446" s="14"/>
      <c r="B446" s="20"/>
      <c r="C446" s="13"/>
      <c r="D446" s="20"/>
      <c r="E446" s="14"/>
      <c r="F446" s="14"/>
    </row>
    <row r="447">
      <c r="A447" s="14"/>
      <c r="B447" s="20"/>
      <c r="C447" s="13"/>
      <c r="D447" s="20"/>
      <c r="E447" s="14"/>
      <c r="F447" s="14"/>
    </row>
    <row r="448">
      <c r="A448" s="14"/>
      <c r="B448" s="20"/>
      <c r="C448" s="13"/>
      <c r="D448" s="20"/>
      <c r="E448" s="14"/>
      <c r="F448" s="14"/>
    </row>
    <row r="449">
      <c r="A449" s="14"/>
      <c r="B449" s="20"/>
      <c r="C449" s="13"/>
      <c r="D449" s="20"/>
      <c r="E449" s="14"/>
      <c r="F449" s="14"/>
    </row>
    <row r="450">
      <c r="A450" s="14"/>
      <c r="B450" s="20"/>
      <c r="C450" s="13"/>
      <c r="D450" s="20"/>
      <c r="E450" s="14"/>
      <c r="F450" s="14"/>
    </row>
    <row r="451">
      <c r="A451" s="14"/>
      <c r="B451" s="20"/>
      <c r="C451" s="13"/>
      <c r="D451" s="20"/>
      <c r="E451" s="14"/>
      <c r="F451" s="14"/>
    </row>
    <row r="452">
      <c r="A452" s="14"/>
      <c r="B452" s="20"/>
      <c r="C452" s="13"/>
      <c r="D452" s="20"/>
      <c r="E452" s="14"/>
      <c r="F452" s="14"/>
    </row>
    <row r="453">
      <c r="A453" s="14"/>
      <c r="B453" s="20"/>
      <c r="C453" s="13"/>
      <c r="D453" s="20"/>
      <c r="E453" s="14"/>
      <c r="F453" s="14"/>
    </row>
    <row r="454">
      <c r="A454" s="14"/>
      <c r="B454" s="20"/>
      <c r="C454" s="13"/>
      <c r="D454" s="20"/>
      <c r="E454" s="14"/>
      <c r="F454" s="14"/>
    </row>
    <row r="455">
      <c r="A455" s="14"/>
      <c r="B455" s="20"/>
      <c r="C455" s="13"/>
      <c r="D455" s="20"/>
      <c r="E455" s="14"/>
      <c r="F455" s="14"/>
    </row>
    <row r="456">
      <c r="A456" s="14"/>
      <c r="B456" s="20"/>
      <c r="C456" s="13"/>
      <c r="D456" s="20"/>
      <c r="E456" s="14"/>
      <c r="F456" s="14"/>
    </row>
    <row r="457">
      <c r="A457" s="14"/>
      <c r="B457" s="20"/>
      <c r="C457" s="13"/>
      <c r="D457" s="20"/>
      <c r="E457" s="14"/>
      <c r="F457" s="14"/>
    </row>
    <row r="458">
      <c r="A458" s="14"/>
      <c r="B458" s="20"/>
      <c r="C458" s="13"/>
      <c r="D458" s="20"/>
      <c r="E458" s="14"/>
      <c r="F458" s="14"/>
    </row>
    <row r="459">
      <c r="A459" s="14"/>
      <c r="B459" s="20"/>
      <c r="C459" s="13"/>
      <c r="D459" s="20"/>
      <c r="E459" s="14"/>
      <c r="F459" s="14"/>
    </row>
    <row r="460">
      <c r="A460" s="14"/>
      <c r="B460" s="20"/>
      <c r="C460" s="13"/>
      <c r="D460" s="20"/>
      <c r="E460" s="14"/>
      <c r="F460" s="14"/>
    </row>
    <row r="461">
      <c r="A461" s="14"/>
      <c r="B461" s="20"/>
      <c r="C461" s="13"/>
      <c r="D461" s="20"/>
      <c r="E461" s="14"/>
      <c r="F461" s="14"/>
    </row>
    <row r="462">
      <c r="A462" s="14"/>
      <c r="B462" s="20"/>
      <c r="C462" s="13"/>
      <c r="D462" s="20"/>
      <c r="E462" s="14"/>
      <c r="F462" s="14"/>
    </row>
    <row r="463">
      <c r="A463" s="14"/>
      <c r="B463" s="20"/>
      <c r="C463" s="13"/>
      <c r="D463" s="20"/>
      <c r="E463" s="14"/>
      <c r="F463" s="14"/>
    </row>
    <row r="464">
      <c r="A464" s="14"/>
      <c r="B464" s="20"/>
      <c r="C464" s="13"/>
      <c r="D464" s="20"/>
      <c r="E464" s="14"/>
      <c r="F464" s="14"/>
    </row>
    <row r="465">
      <c r="A465" s="14"/>
      <c r="B465" s="20"/>
      <c r="C465" s="13"/>
      <c r="D465" s="20"/>
      <c r="E465" s="14"/>
      <c r="F465" s="14"/>
    </row>
    <row r="466">
      <c r="A466" s="14"/>
      <c r="B466" s="20"/>
      <c r="C466" s="13"/>
      <c r="D466" s="20"/>
      <c r="E466" s="14"/>
      <c r="F466" s="14"/>
    </row>
    <row r="467">
      <c r="A467" s="14"/>
      <c r="B467" s="20"/>
      <c r="C467" s="13"/>
      <c r="D467" s="20"/>
      <c r="E467" s="14"/>
      <c r="F467" s="14"/>
    </row>
    <row r="468">
      <c r="A468" s="14"/>
      <c r="B468" s="20"/>
      <c r="C468" s="13"/>
      <c r="D468" s="20"/>
      <c r="E468" s="14"/>
      <c r="F468" s="14"/>
    </row>
    <row r="469">
      <c r="A469" s="14"/>
      <c r="B469" s="20"/>
      <c r="C469" s="13"/>
      <c r="D469" s="20"/>
      <c r="E469" s="14"/>
      <c r="F469" s="14"/>
    </row>
    <row r="470">
      <c r="A470" s="14"/>
      <c r="B470" s="20"/>
      <c r="C470" s="13"/>
      <c r="D470" s="20"/>
      <c r="E470" s="14"/>
      <c r="F470" s="14"/>
    </row>
    <row r="471">
      <c r="A471" s="14"/>
      <c r="B471" s="20"/>
      <c r="C471" s="13"/>
      <c r="D471" s="20"/>
      <c r="E471" s="14"/>
      <c r="F471" s="14"/>
    </row>
    <row r="472">
      <c r="A472" s="14"/>
      <c r="B472" s="20"/>
      <c r="C472" s="13"/>
      <c r="D472" s="20"/>
      <c r="E472" s="14"/>
      <c r="F472" s="14"/>
    </row>
    <row r="473">
      <c r="A473" s="14"/>
      <c r="B473" s="20"/>
      <c r="C473" s="13"/>
      <c r="D473" s="20"/>
      <c r="E473" s="14"/>
      <c r="F473" s="14"/>
    </row>
    <row r="474">
      <c r="A474" s="14"/>
      <c r="B474" s="20"/>
      <c r="C474" s="13"/>
      <c r="D474" s="20"/>
      <c r="E474" s="14"/>
      <c r="F474" s="14"/>
    </row>
    <row r="475">
      <c r="A475" s="14"/>
      <c r="B475" s="20"/>
      <c r="C475" s="13"/>
      <c r="D475" s="20"/>
      <c r="E475" s="14"/>
      <c r="F475" s="14"/>
    </row>
    <row r="476">
      <c r="A476" s="14"/>
      <c r="B476" s="20"/>
      <c r="C476" s="13"/>
      <c r="D476" s="20"/>
      <c r="E476" s="14"/>
      <c r="F476" s="14"/>
    </row>
    <row r="477">
      <c r="A477" s="14"/>
      <c r="B477" s="20"/>
      <c r="C477" s="13"/>
      <c r="D477" s="20"/>
      <c r="E477" s="14"/>
      <c r="F477" s="14"/>
    </row>
    <row r="478">
      <c r="A478" s="14"/>
      <c r="B478" s="20"/>
      <c r="C478" s="13"/>
      <c r="D478" s="20"/>
      <c r="E478" s="14"/>
      <c r="F478" s="14"/>
    </row>
    <row r="479">
      <c r="A479" s="14"/>
      <c r="B479" s="20"/>
      <c r="C479" s="13"/>
      <c r="D479" s="20"/>
      <c r="E479" s="14"/>
      <c r="F479" s="14"/>
    </row>
    <row r="480">
      <c r="A480" s="14"/>
      <c r="B480" s="20"/>
      <c r="C480" s="13"/>
      <c r="D480" s="20"/>
      <c r="E480" s="14"/>
      <c r="F480" s="14"/>
    </row>
    <row r="481">
      <c r="A481" s="14"/>
      <c r="B481" s="20"/>
      <c r="C481" s="13"/>
      <c r="D481" s="20"/>
      <c r="E481" s="14"/>
      <c r="F481" s="14"/>
    </row>
    <row r="482">
      <c r="A482" s="14"/>
      <c r="B482" s="20"/>
      <c r="C482" s="13"/>
      <c r="D482" s="20"/>
      <c r="E482" s="14"/>
      <c r="F482" s="14"/>
    </row>
    <row r="483">
      <c r="A483" s="14"/>
      <c r="B483" s="20"/>
      <c r="C483" s="13"/>
      <c r="D483" s="20"/>
      <c r="E483" s="14"/>
      <c r="F483" s="14"/>
    </row>
    <row r="484">
      <c r="A484" s="14"/>
      <c r="B484" s="20"/>
      <c r="C484" s="13"/>
      <c r="D484" s="20"/>
      <c r="E484" s="14"/>
      <c r="F484" s="14"/>
    </row>
    <row r="485">
      <c r="A485" s="14"/>
      <c r="B485" s="20"/>
      <c r="C485" s="13"/>
      <c r="D485" s="20"/>
      <c r="E485" s="14"/>
      <c r="F485" s="14"/>
    </row>
    <row r="486">
      <c r="A486" s="14"/>
      <c r="B486" s="20"/>
      <c r="C486" s="13"/>
      <c r="D486" s="20"/>
      <c r="E486" s="14"/>
      <c r="F486" s="14"/>
    </row>
    <row r="487">
      <c r="A487" s="14"/>
      <c r="B487" s="20"/>
      <c r="C487" s="13"/>
      <c r="D487" s="20"/>
      <c r="E487" s="14"/>
      <c r="F487" s="14"/>
    </row>
    <row r="488">
      <c r="A488" s="14"/>
      <c r="B488" s="20"/>
      <c r="C488" s="13"/>
      <c r="D488" s="20"/>
      <c r="E488" s="14"/>
      <c r="F488" s="14"/>
    </row>
    <row r="489">
      <c r="A489" s="14"/>
      <c r="B489" s="20"/>
      <c r="C489" s="13"/>
      <c r="D489" s="20"/>
      <c r="E489" s="14"/>
      <c r="F489" s="14"/>
    </row>
    <row r="490">
      <c r="A490" s="14"/>
      <c r="B490" s="20"/>
      <c r="C490" s="13"/>
      <c r="D490" s="20"/>
      <c r="E490" s="14"/>
      <c r="F490" s="14"/>
    </row>
    <row r="491">
      <c r="A491" s="14"/>
      <c r="B491" s="20"/>
      <c r="C491" s="13"/>
      <c r="D491" s="20"/>
      <c r="E491" s="14"/>
      <c r="F491" s="14"/>
    </row>
    <row r="492">
      <c r="A492" s="14"/>
      <c r="B492" s="20"/>
      <c r="C492" s="13"/>
      <c r="D492" s="20"/>
      <c r="E492" s="14"/>
      <c r="F492" s="14"/>
    </row>
    <row r="493">
      <c r="A493" s="14"/>
      <c r="B493" s="20"/>
      <c r="C493" s="13"/>
      <c r="D493" s="20"/>
      <c r="E493" s="14"/>
      <c r="F493" s="14"/>
    </row>
    <row r="494">
      <c r="A494" s="14"/>
      <c r="B494" s="20"/>
      <c r="C494" s="13"/>
      <c r="D494" s="20"/>
      <c r="E494" s="14"/>
      <c r="F494" s="14"/>
    </row>
    <row r="495">
      <c r="A495" s="14"/>
      <c r="B495" s="20"/>
      <c r="C495" s="13"/>
      <c r="D495" s="20"/>
      <c r="E495" s="14"/>
      <c r="F495" s="14"/>
    </row>
    <row r="496">
      <c r="A496" s="14"/>
      <c r="B496" s="20"/>
      <c r="C496" s="13"/>
      <c r="D496" s="20"/>
      <c r="E496" s="14"/>
      <c r="F496" s="14"/>
    </row>
    <row r="497">
      <c r="A497" s="14"/>
      <c r="B497" s="20"/>
      <c r="C497" s="13"/>
      <c r="D497" s="20"/>
      <c r="E497" s="14"/>
      <c r="F497" s="14"/>
    </row>
    <row r="498">
      <c r="A498" s="14"/>
      <c r="B498" s="20"/>
      <c r="C498" s="13"/>
      <c r="D498" s="20"/>
      <c r="E498" s="14"/>
      <c r="F498" s="14"/>
    </row>
    <row r="499">
      <c r="A499" s="14"/>
      <c r="B499" s="20"/>
      <c r="C499" s="13"/>
      <c r="D499" s="20"/>
      <c r="E499" s="14"/>
      <c r="F499" s="14"/>
    </row>
    <row r="500">
      <c r="A500" s="14"/>
      <c r="B500" s="20"/>
      <c r="C500" s="13"/>
      <c r="D500" s="20"/>
      <c r="E500" s="14"/>
      <c r="F500" s="14"/>
    </row>
    <row r="501">
      <c r="A501" s="14"/>
      <c r="B501" s="20"/>
      <c r="C501" s="13"/>
      <c r="D501" s="20"/>
      <c r="E501" s="14"/>
      <c r="F501" s="14"/>
    </row>
    <row r="502">
      <c r="A502" s="14"/>
      <c r="B502" s="20"/>
      <c r="C502" s="13"/>
      <c r="D502" s="20"/>
      <c r="E502" s="14"/>
      <c r="F502" s="14"/>
    </row>
    <row r="503">
      <c r="A503" s="14"/>
      <c r="B503" s="20"/>
      <c r="C503" s="13"/>
      <c r="D503" s="20"/>
      <c r="E503" s="14"/>
      <c r="F503" s="14"/>
    </row>
    <row r="504">
      <c r="A504" s="14"/>
      <c r="B504" s="20"/>
      <c r="C504" s="13"/>
      <c r="D504" s="20"/>
      <c r="E504" s="14"/>
      <c r="F504" s="14"/>
    </row>
    <row r="505">
      <c r="A505" s="14"/>
      <c r="B505" s="20"/>
      <c r="C505" s="13"/>
      <c r="D505" s="20"/>
      <c r="E505" s="14"/>
      <c r="F505" s="14"/>
    </row>
    <row r="506">
      <c r="A506" s="14"/>
      <c r="B506" s="20"/>
      <c r="C506" s="13"/>
      <c r="D506" s="20"/>
      <c r="E506" s="14"/>
      <c r="F506" s="14"/>
    </row>
    <row r="507">
      <c r="A507" s="14"/>
      <c r="B507" s="20"/>
      <c r="C507" s="13"/>
      <c r="D507" s="20"/>
      <c r="E507" s="14"/>
      <c r="F507" s="14"/>
    </row>
    <row r="508">
      <c r="A508" s="14"/>
      <c r="B508" s="20"/>
      <c r="C508" s="13"/>
      <c r="D508" s="20"/>
      <c r="E508" s="14"/>
      <c r="F508" s="14"/>
    </row>
    <row r="509">
      <c r="A509" s="14"/>
      <c r="B509" s="20"/>
      <c r="C509" s="13"/>
      <c r="D509" s="20"/>
      <c r="E509" s="14"/>
      <c r="F509" s="14"/>
    </row>
    <row r="510">
      <c r="A510" s="14"/>
      <c r="B510" s="20"/>
      <c r="C510" s="13"/>
      <c r="D510" s="20"/>
      <c r="E510" s="14"/>
      <c r="F510" s="14"/>
    </row>
    <row r="511">
      <c r="A511" s="14"/>
      <c r="B511" s="20"/>
      <c r="C511" s="13"/>
      <c r="D511" s="20"/>
      <c r="E511" s="14"/>
      <c r="F511" s="14"/>
    </row>
    <row r="512">
      <c r="A512" s="14"/>
      <c r="B512" s="20"/>
      <c r="C512" s="13"/>
      <c r="D512" s="20"/>
      <c r="E512" s="14"/>
      <c r="F512" s="14"/>
    </row>
    <row r="513">
      <c r="A513" s="14"/>
      <c r="B513" s="20"/>
      <c r="C513" s="13"/>
      <c r="D513" s="20"/>
      <c r="E513" s="14"/>
      <c r="F513" s="14"/>
    </row>
    <row r="514">
      <c r="A514" s="14"/>
      <c r="B514" s="20"/>
      <c r="C514" s="13"/>
      <c r="D514" s="20"/>
      <c r="E514" s="14"/>
      <c r="F514" s="14"/>
    </row>
    <row r="515">
      <c r="A515" s="14"/>
      <c r="B515" s="20"/>
      <c r="C515" s="13"/>
      <c r="D515" s="20"/>
      <c r="E515" s="14"/>
      <c r="F515" s="14"/>
    </row>
    <row r="516">
      <c r="A516" s="14"/>
      <c r="B516" s="20"/>
      <c r="C516" s="13"/>
      <c r="D516" s="20"/>
      <c r="E516" s="14"/>
      <c r="F516" s="14"/>
    </row>
    <row r="517">
      <c r="A517" s="14"/>
      <c r="B517" s="20"/>
      <c r="C517" s="13"/>
      <c r="D517" s="20"/>
      <c r="E517" s="14"/>
      <c r="F517" s="14"/>
    </row>
    <row r="518">
      <c r="A518" s="14"/>
      <c r="B518" s="20"/>
      <c r="C518" s="13"/>
      <c r="D518" s="20"/>
      <c r="E518" s="14"/>
      <c r="F518" s="14"/>
    </row>
    <row r="519">
      <c r="A519" s="14"/>
      <c r="B519" s="20"/>
      <c r="C519" s="13"/>
      <c r="D519" s="20"/>
      <c r="E519" s="14"/>
      <c r="F519" s="14"/>
    </row>
    <row r="520">
      <c r="A520" s="14"/>
      <c r="B520" s="20"/>
      <c r="C520" s="13"/>
      <c r="D520" s="20"/>
      <c r="E520" s="14"/>
      <c r="F520" s="14"/>
    </row>
    <row r="521">
      <c r="A521" s="14"/>
      <c r="B521" s="20"/>
      <c r="C521" s="13"/>
      <c r="D521" s="20"/>
      <c r="E521" s="14"/>
      <c r="F521" s="14"/>
    </row>
    <row r="522">
      <c r="A522" s="14"/>
      <c r="B522" s="20"/>
      <c r="C522" s="13"/>
      <c r="D522" s="20"/>
      <c r="E522" s="14"/>
      <c r="F522" s="14"/>
    </row>
    <row r="523">
      <c r="A523" s="14"/>
      <c r="B523" s="20"/>
      <c r="C523" s="13"/>
      <c r="D523" s="20"/>
      <c r="E523" s="14"/>
      <c r="F523" s="14"/>
    </row>
    <row r="524">
      <c r="A524" s="14"/>
      <c r="B524" s="20"/>
      <c r="C524" s="13"/>
      <c r="D524" s="20"/>
      <c r="E524" s="14"/>
      <c r="F524" s="14"/>
    </row>
    <row r="525">
      <c r="A525" s="14"/>
      <c r="B525" s="20"/>
      <c r="C525" s="13"/>
      <c r="D525" s="20"/>
      <c r="E525" s="14"/>
      <c r="F525" s="14"/>
    </row>
    <row r="526">
      <c r="A526" s="14"/>
      <c r="B526" s="20"/>
      <c r="C526" s="13"/>
      <c r="D526" s="20"/>
      <c r="E526" s="14"/>
      <c r="F526" s="14"/>
    </row>
    <row r="527">
      <c r="A527" s="14"/>
      <c r="B527" s="20"/>
      <c r="C527" s="13"/>
      <c r="D527" s="20"/>
      <c r="E527" s="14"/>
      <c r="F527" s="14"/>
    </row>
    <row r="528">
      <c r="A528" s="14"/>
      <c r="B528" s="20"/>
      <c r="C528" s="13"/>
      <c r="D528" s="20"/>
      <c r="E528" s="14"/>
      <c r="F528" s="14"/>
    </row>
    <row r="529">
      <c r="A529" s="14"/>
      <c r="B529" s="20"/>
      <c r="C529" s="13"/>
      <c r="D529" s="20"/>
      <c r="E529" s="14"/>
      <c r="F529" s="14"/>
    </row>
    <row r="530">
      <c r="A530" s="14"/>
      <c r="B530" s="20"/>
      <c r="C530" s="13"/>
      <c r="D530" s="20"/>
      <c r="E530" s="14"/>
      <c r="F530" s="14"/>
    </row>
    <row r="531">
      <c r="A531" s="14"/>
      <c r="B531" s="20"/>
      <c r="C531" s="13"/>
      <c r="D531" s="20"/>
      <c r="E531" s="14"/>
      <c r="F531" s="14"/>
    </row>
    <row r="532">
      <c r="A532" s="14"/>
      <c r="B532" s="20"/>
      <c r="C532" s="13"/>
      <c r="D532" s="20"/>
      <c r="E532" s="14"/>
      <c r="F532" s="14"/>
    </row>
    <row r="533">
      <c r="A533" s="14"/>
      <c r="B533" s="20"/>
      <c r="C533" s="13"/>
      <c r="D533" s="20"/>
      <c r="E533" s="14"/>
      <c r="F533" s="14"/>
    </row>
    <row r="534">
      <c r="A534" s="14"/>
      <c r="B534" s="20"/>
      <c r="C534" s="13"/>
      <c r="D534" s="20"/>
      <c r="E534" s="14"/>
      <c r="F534" s="14"/>
    </row>
    <row r="535">
      <c r="A535" s="14"/>
      <c r="B535" s="20"/>
      <c r="C535" s="13"/>
      <c r="D535" s="20"/>
      <c r="E535" s="14"/>
      <c r="F535" s="14"/>
    </row>
    <row r="536">
      <c r="A536" s="14"/>
      <c r="B536" s="20"/>
      <c r="C536" s="13"/>
      <c r="D536" s="20"/>
      <c r="E536" s="14"/>
      <c r="F536" s="14"/>
    </row>
    <row r="537">
      <c r="A537" s="14"/>
      <c r="B537" s="20"/>
      <c r="C537" s="13"/>
      <c r="D537" s="20"/>
      <c r="E537" s="14"/>
      <c r="F537" s="14"/>
    </row>
    <row r="538">
      <c r="A538" s="14"/>
      <c r="B538" s="20"/>
      <c r="C538" s="13"/>
      <c r="D538" s="20"/>
      <c r="E538" s="14"/>
      <c r="F538" s="14"/>
    </row>
    <row r="539">
      <c r="A539" s="14"/>
      <c r="B539" s="20"/>
      <c r="C539" s="13"/>
      <c r="D539" s="20"/>
      <c r="E539" s="14"/>
      <c r="F539" s="14"/>
    </row>
    <row r="540">
      <c r="A540" s="14"/>
      <c r="B540" s="20"/>
      <c r="C540" s="13"/>
      <c r="D540" s="20"/>
      <c r="E540" s="14"/>
      <c r="F540" s="14"/>
    </row>
    <row r="541">
      <c r="A541" s="14"/>
      <c r="B541" s="20"/>
      <c r="C541" s="13"/>
      <c r="D541" s="20"/>
      <c r="E541" s="14"/>
      <c r="F541" s="14"/>
    </row>
    <row r="542">
      <c r="A542" s="14"/>
      <c r="B542" s="20"/>
      <c r="C542" s="13"/>
      <c r="D542" s="20"/>
      <c r="E542" s="14"/>
      <c r="F542" s="14"/>
    </row>
    <row r="543">
      <c r="A543" s="14"/>
      <c r="B543" s="20"/>
      <c r="C543" s="13"/>
      <c r="D543" s="20"/>
      <c r="E543" s="14"/>
      <c r="F543" s="14"/>
    </row>
    <row r="544">
      <c r="A544" s="14"/>
      <c r="B544" s="20"/>
      <c r="C544" s="13"/>
      <c r="D544" s="20"/>
      <c r="E544" s="14"/>
      <c r="F544" s="14"/>
    </row>
    <row r="545">
      <c r="A545" s="14"/>
      <c r="B545" s="20"/>
      <c r="C545" s="13"/>
      <c r="D545" s="20"/>
      <c r="E545" s="14"/>
      <c r="F545" s="14"/>
    </row>
    <row r="546">
      <c r="A546" s="14"/>
      <c r="B546" s="20"/>
      <c r="C546" s="13"/>
      <c r="D546" s="20"/>
      <c r="E546" s="14"/>
      <c r="F546" s="14"/>
    </row>
    <row r="547">
      <c r="A547" s="14"/>
      <c r="B547" s="20"/>
      <c r="C547" s="13"/>
      <c r="D547" s="20"/>
      <c r="E547" s="14"/>
      <c r="F547" s="14"/>
    </row>
    <row r="548">
      <c r="A548" s="14"/>
      <c r="B548" s="20"/>
      <c r="C548" s="13"/>
      <c r="D548" s="20"/>
      <c r="E548" s="14"/>
      <c r="F548" s="14"/>
    </row>
    <row r="549">
      <c r="A549" s="14"/>
      <c r="B549" s="20"/>
      <c r="C549" s="13"/>
      <c r="D549" s="20"/>
      <c r="E549" s="14"/>
      <c r="F549" s="14"/>
    </row>
    <row r="550">
      <c r="A550" s="14"/>
      <c r="B550" s="20"/>
      <c r="C550" s="13"/>
      <c r="D550" s="20"/>
      <c r="E550" s="14"/>
      <c r="F550" s="14"/>
    </row>
    <row r="551">
      <c r="A551" s="14"/>
      <c r="B551" s="20"/>
      <c r="C551" s="13"/>
      <c r="D551" s="20"/>
      <c r="E551" s="14"/>
      <c r="F551" s="14"/>
    </row>
    <row r="552">
      <c r="A552" s="14"/>
      <c r="B552" s="20"/>
      <c r="C552" s="13"/>
      <c r="D552" s="20"/>
      <c r="E552" s="14"/>
      <c r="F552" s="14"/>
    </row>
    <row r="553">
      <c r="A553" s="14"/>
      <c r="B553" s="20"/>
      <c r="C553" s="13"/>
      <c r="D553" s="20"/>
      <c r="E553" s="14"/>
      <c r="F553" s="14"/>
    </row>
    <row r="554">
      <c r="A554" s="14"/>
      <c r="B554" s="20"/>
      <c r="C554" s="13"/>
      <c r="D554" s="20"/>
      <c r="E554" s="14"/>
      <c r="F554" s="14"/>
    </row>
    <row r="555">
      <c r="A555" s="14"/>
      <c r="B555" s="20"/>
      <c r="C555" s="13"/>
      <c r="D555" s="20"/>
      <c r="E555" s="14"/>
      <c r="F555" s="14"/>
    </row>
    <row r="556">
      <c r="A556" s="14"/>
      <c r="B556" s="20"/>
      <c r="C556" s="13"/>
      <c r="D556" s="20"/>
      <c r="E556" s="14"/>
      <c r="F556" s="14"/>
    </row>
    <row r="557">
      <c r="A557" s="14"/>
      <c r="B557" s="20"/>
      <c r="C557" s="13"/>
      <c r="D557" s="20"/>
      <c r="E557" s="14"/>
      <c r="F557" s="14"/>
    </row>
    <row r="558">
      <c r="A558" s="14"/>
      <c r="B558" s="20"/>
      <c r="C558" s="13"/>
      <c r="D558" s="20"/>
      <c r="E558" s="14"/>
      <c r="F558" s="14"/>
    </row>
    <row r="559">
      <c r="A559" s="14"/>
      <c r="B559" s="20"/>
      <c r="C559" s="13"/>
      <c r="D559" s="20"/>
      <c r="E559" s="14"/>
      <c r="F559" s="14"/>
    </row>
    <row r="560">
      <c r="A560" s="14"/>
      <c r="B560" s="20"/>
      <c r="C560" s="13"/>
      <c r="D560" s="20"/>
      <c r="E560" s="14"/>
      <c r="F560" s="14"/>
    </row>
    <row r="561">
      <c r="A561" s="14"/>
      <c r="B561" s="20"/>
      <c r="C561" s="13"/>
      <c r="D561" s="20"/>
      <c r="E561" s="14"/>
      <c r="F561" s="14"/>
    </row>
    <row r="562">
      <c r="A562" s="14"/>
      <c r="B562" s="20"/>
      <c r="C562" s="13"/>
      <c r="D562" s="20"/>
      <c r="E562" s="14"/>
      <c r="F562" s="14"/>
    </row>
    <row r="563">
      <c r="A563" s="14"/>
      <c r="B563" s="20"/>
      <c r="C563" s="13"/>
      <c r="D563" s="20"/>
      <c r="E563" s="14"/>
      <c r="F563" s="14"/>
    </row>
    <row r="564">
      <c r="A564" s="14"/>
      <c r="B564" s="20"/>
      <c r="C564" s="13"/>
      <c r="D564" s="20"/>
      <c r="E564" s="14"/>
      <c r="F564" s="14"/>
    </row>
    <row r="565">
      <c r="A565" s="14"/>
      <c r="B565" s="20"/>
      <c r="C565" s="13"/>
      <c r="D565" s="20"/>
      <c r="E565" s="14"/>
      <c r="F565" s="14"/>
    </row>
    <row r="566">
      <c r="A566" s="14"/>
      <c r="B566" s="20"/>
      <c r="C566" s="13"/>
      <c r="D566" s="20"/>
      <c r="E566" s="14"/>
      <c r="F566" s="14"/>
    </row>
    <row r="567">
      <c r="A567" s="14"/>
      <c r="B567" s="20"/>
      <c r="C567" s="13"/>
      <c r="D567" s="20"/>
      <c r="E567" s="14"/>
      <c r="F567" s="14"/>
    </row>
    <row r="568">
      <c r="A568" s="14"/>
      <c r="B568" s="20"/>
      <c r="C568" s="13"/>
      <c r="D568" s="20"/>
      <c r="E568" s="14"/>
      <c r="F568" s="14"/>
    </row>
    <row r="569">
      <c r="A569" s="14"/>
      <c r="B569" s="20"/>
      <c r="C569" s="13"/>
      <c r="D569" s="20"/>
      <c r="E569" s="14"/>
      <c r="F569" s="14"/>
    </row>
    <row r="570">
      <c r="A570" s="14"/>
      <c r="B570" s="20"/>
      <c r="C570" s="13"/>
      <c r="D570" s="20"/>
      <c r="E570" s="14"/>
      <c r="F570" s="14"/>
    </row>
    <row r="571">
      <c r="A571" s="14"/>
      <c r="B571" s="20"/>
      <c r="C571" s="13"/>
      <c r="D571" s="20"/>
      <c r="E571" s="14"/>
      <c r="F571" s="14"/>
    </row>
    <row r="572">
      <c r="A572" s="14"/>
      <c r="B572" s="20"/>
      <c r="C572" s="13"/>
      <c r="D572" s="20"/>
      <c r="E572" s="14"/>
      <c r="F572" s="14"/>
    </row>
    <row r="573">
      <c r="A573" s="14"/>
      <c r="B573" s="20"/>
      <c r="C573" s="13"/>
      <c r="D573" s="20"/>
      <c r="E573" s="14"/>
      <c r="F573" s="14"/>
    </row>
    <row r="574">
      <c r="A574" s="14"/>
      <c r="B574" s="20"/>
      <c r="C574" s="13"/>
      <c r="D574" s="20"/>
      <c r="E574" s="14"/>
      <c r="F574" s="14"/>
    </row>
    <row r="575">
      <c r="A575" s="14"/>
      <c r="B575" s="20"/>
      <c r="C575" s="13"/>
      <c r="D575" s="20"/>
      <c r="E575" s="14"/>
      <c r="F575" s="14"/>
    </row>
    <row r="576">
      <c r="A576" s="14"/>
      <c r="B576" s="20"/>
      <c r="C576" s="13"/>
      <c r="D576" s="20"/>
      <c r="E576" s="14"/>
      <c r="F576" s="14"/>
    </row>
    <row r="577">
      <c r="A577" s="14"/>
      <c r="B577" s="20"/>
      <c r="C577" s="13"/>
      <c r="D577" s="20"/>
      <c r="E577" s="14"/>
      <c r="F577" s="14"/>
    </row>
    <row r="578">
      <c r="A578" s="14"/>
      <c r="B578" s="20"/>
      <c r="C578" s="13"/>
      <c r="D578" s="20"/>
      <c r="E578" s="14"/>
      <c r="F578" s="14"/>
    </row>
    <row r="579">
      <c r="A579" s="14"/>
      <c r="B579" s="20"/>
      <c r="C579" s="13"/>
      <c r="D579" s="20"/>
      <c r="E579" s="14"/>
      <c r="F579" s="14"/>
    </row>
    <row r="580">
      <c r="A580" s="14"/>
      <c r="B580" s="20"/>
      <c r="C580" s="13"/>
      <c r="D580" s="20"/>
      <c r="E580" s="14"/>
      <c r="F580" s="14"/>
    </row>
    <row r="581">
      <c r="A581" s="14"/>
      <c r="B581" s="20"/>
      <c r="C581" s="13"/>
      <c r="D581" s="20"/>
      <c r="E581" s="14"/>
      <c r="F581" s="14"/>
    </row>
    <row r="582">
      <c r="A582" s="14"/>
      <c r="B582" s="20"/>
      <c r="C582" s="13"/>
      <c r="D582" s="20"/>
      <c r="E582" s="14"/>
      <c r="F582" s="14"/>
    </row>
    <row r="583">
      <c r="A583" s="14"/>
      <c r="B583" s="20"/>
      <c r="C583" s="13"/>
      <c r="D583" s="20"/>
      <c r="E583" s="14"/>
      <c r="F583" s="14"/>
    </row>
    <row r="584">
      <c r="A584" s="14"/>
      <c r="B584" s="20"/>
      <c r="C584" s="13"/>
      <c r="D584" s="20"/>
      <c r="E584" s="14"/>
      <c r="F584" s="14"/>
    </row>
    <row r="585">
      <c r="A585" s="14"/>
      <c r="B585" s="20"/>
      <c r="C585" s="13"/>
      <c r="D585" s="20"/>
      <c r="E585" s="14"/>
      <c r="F585" s="14"/>
    </row>
    <row r="586">
      <c r="A586" s="14"/>
      <c r="B586" s="20"/>
      <c r="C586" s="13"/>
      <c r="D586" s="20"/>
      <c r="E586" s="14"/>
      <c r="F586" s="14"/>
    </row>
    <row r="587">
      <c r="A587" s="14"/>
      <c r="B587" s="20"/>
      <c r="C587" s="13"/>
      <c r="D587" s="20"/>
      <c r="E587" s="14"/>
      <c r="F587" s="14"/>
    </row>
    <row r="588">
      <c r="A588" s="14"/>
      <c r="B588" s="20"/>
      <c r="C588" s="13"/>
      <c r="D588" s="20"/>
      <c r="E588" s="14"/>
      <c r="F588" s="14"/>
    </row>
    <row r="589">
      <c r="A589" s="14"/>
      <c r="B589" s="20"/>
      <c r="C589" s="13"/>
      <c r="D589" s="20"/>
      <c r="E589" s="14"/>
      <c r="F589" s="14"/>
    </row>
    <row r="590">
      <c r="A590" s="14"/>
      <c r="B590" s="20"/>
      <c r="C590" s="13"/>
      <c r="D590" s="20"/>
      <c r="E590" s="14"/>
      <c r="F590" s="14"/>
    </row>
    <row r="591">
      <c r="A591" s="14"/>
      <c r="B591" s="20"/>
      <c r="C591" s="13"/>
      <c r="D591" s="20"/>
      <c r="E591" s="14"/>
      <c r="F591" s="14"/>
    </row>
    <row r="592">
      <c r="A592" s="14"/>
      <c r="B592" s="20"/>
      <c r="C592" s="13"/>
      <c r="D592" s="20"/>
      <c r="E592" s="14"/>
      <c r="F592" s="14"/>
    </row>
    <row r="593">
      <c r="A593" s="14"/>
      <c r="B593" s="20"/>
      <c r="C593" s="13"/>
      <c r="D593" s="20"/>
      <c r="E593" s="14"/>
      <c r="F593" s="14"/>
    </row>
    <row r="594">
      <c r="A594" s="14"/>
      <c r="B594" s="20"/>
      <c r="C594" s="13"/>
      <c r="D594" s="20"/>
      <c r="E594" s="14"/>
      <c r="F594" s="14"/>
    </row>
    <row r="595">
      <c r="A595" s="14"/>
      <c r="B595" s="20"/>
      <c r="C595" s="13"/>
      <c r="D595" s="20"/>
      <c r="E595" s="14"/>
      <c r="F595" s="14"/>
    </row>
    <row r="596">
      <c r="A596" s="14"/>
      <c r="B596" s="20"/>
      <c r="C596" s="13"/>
      <c r="D596" s="20"/>
      <c r="E596" s="14"/>
      <c r="F596" s="14"/>
    </row>
    <row r="597">
      <c r="A597" s="14"/>
      <c r="B597" s="20"/>
      <c r="C597" s="13"/>
      <c r="D597" s="20"/>
      <c r="E597" s="14"/>
      <c r="F597" s="14"/>
    </row>
    <row r="598">
      <c r="A598" s="14"/>
      <c r="B598" s="20"/>
      <c r="C598" s="13"/>
      <c r="D598" s="20"/>
      <c r="E598" s="14"/>
      <c r="F598" s="14"/>
    </row>
    <row r="599">
      <c r="A599" s="14"/>
      <c r="B599" s="20"/>
      <c r="C599" s="13"/>
      <c r="D599" s="20"/>
      <c r="E599" s="14"/>
      <c r="F599" s="14"/>
    </row>
    <row r="600">
      <c r="A600" s="14"/>
      <c r="B600" s="20"/>
      <c r="C600" s="13"/>
      <c r="D600" s="20"/>
      <c r="E600" s="14"/>
      <c r="F600" s="14"/>
    </row>
    <row r="601">
      <c r="A601" s="14"/>
      <c r="B601" s="20"/>
      <c r="C601" s="13"/>
      <c r="D601" s="20"/>
      <c r="E601" s="14"/>
      <c r="F601" s="14"/>
    </row>
    <row r="602">
      <c r="A602" s="14"/>
      <c r="B602" s="20"/>
      <c r="C602" s="13"/>
      <c r="D602" s="20"/>
      <c r="E602" s="14"/>
      <c r="F602" s="14"/>
    </row>
    <row r="603">
      <c r="A603" s="14"/>
      <c r="B603" s="20"/>
      <c r="C603" s="13"/>
      <c r="D603" s="20"/>
      <c r="E603" s="14"/>
      <c r="F603" s="14"/>
    </row>
    <row r="604">
      <c r="A604" s="14"/>
      <c r="B604" s="20"/>
      <c r="C604" s="13"/>
      <c r="D604" s="20"/>
      <c r="E604" s="14"/>
      <c r="F604" s="14"/>
    </row>
    <row r="605">
      <c r="A605" s="14"/>
      <c r="B605" s="20"/>
      <c r="C605" s="13"/>
      <c r="D605" s="20"/>
      <c r="E605" s="14"/>
      <c r="F605" s="14"/>
    </row>
    <row r="606">
      <c r="A606" s="14"/>
      <c r="B606" s="20"/>
      <c r="C606" s="13"/>
      <c r="D606" s="20"/>
      <c r="E606" s="14"/>
      <c r="F606" s="14"/>
    </row>
    <row r="607">
      <c r="A607" s="14"/>
      <c r="B607" s="20"/>
      <c r="C607" s="13"/>
      <c r="D607" s="20"/>
      <c r="E607" s="14"/>
      <c r="F607" s="14"/>
    </row>
    <row r="608">
      <c r="A608" s="14"/>
      <c r="B608" s="20"/>
      <c r="C608" s="13"/>
      <c r="D608" s="20"/>
      <c r="E608" s="14"/>
      <c r="F608" s="14"/>
    </row>
    <row r="609">
      <c r="A609" s="14"/>
      <c r="B609" s="20"/>
      <c r="C609" s="13"/>
      <c r="D609" s="20"/>
      <c r="E609" s="14"/>
      <c r="F609" s="14"/>
    </row>
    <row r="610">
      <c r="A610" s="14"/>
      <c r="B610" s="20"/>
      <c r="C610" s="13"/>
      <c r="D610" s="20"/>
      <c r="E610" s="14"/>
      <c r="F610" s="14"/>
    </row>
    <row r="611">
      <c r="A611" s="14"/>
      <c r="B611" s="20"/>
      <c r="C611" s="13"/>
      <c r="D611" s="20"/>
      <c r="E611" s="14"/>
      <c r="F611" s="14"/>
    </row>
    <row r="612">
      <c r="A612" s="14"/>
      <c r="B612" s="20"/>
      <c r="C612" s="13"/>
      <c r="D612" s="20"/>
      <c r="E612" s="14"/>
      <c r="F612" s="14"/>
    </row>
    <row r="613">
      <c r="A613" s="14"/>
      <c r="B613" s="20"/>
      <c r="C613" s="13"/>
      <c r="D613" s="20"/>
      <c r="E613" s="14"/>
      <c r="F613" s="14"/>
    </row>
    <row r="614">
      <c r="A614" s="14"/>
      <c r="B614" s="20"/>
      <c r="C614" s="13"/>
      <c r="D614" s="20"/>
      <c r="E614" s="14"/>
      <c r="F614" s="14"/>
    </row>
    <row r="615">
      <c r="A615" s="14"/>
      <c r="B615" s="20"/>
      <c r="C615" s="13"/>
      <c r="D615" s="20"/>
      <c r="E615" s="14"/>
      <c r="F615" s="14"/>
    </row>
    <row r="616">
      <c r="A616" s="14"/>
      <c r="B616" s="20"/>
      <c r="C616" s="13"/>
      <c r="D616" s="20"/>
      <c r="E616" s="14"/>
      <c r="F616" s="14"/>
    </row>
    <row r="617">
      <c r="A617" s="14"/>
      <c r="B617" s="20"/>
      <c r="C617" s="13"/>
      <c r="D617" s="20"/>
      <c r="E617" s="14"/>
      <c r="F617" s="14"/>
    </row>
    <row r="618">
      <c r="A618" s="14"/>
      <c r="B618" s="20"/>
      <c r="C618" s="13"/>
      <c r="D618" s="20"/>
      <c r="E618" s="14"/>
      <c r="F618" s="14"/>
    </row>
    <row r="619">
      <c r="A619" s="14"/>
      <c r="B619" s="20"/>
      <c r="C619" s="13"/>
      <c r="D619" s="20"/>
      <c r="E619" s="14"/>
      <c r="F619" s="14"/>
    </row>
    <row r="620">
      <c r="A620" s="14"/>
      <c r="B620" s="20"/>
      <c r="C620" s="13"/>
      <c r="D620" s="20"/>
      <c r="E620" s="14"/>
      <c r="F620" s="14"/>
    </row>
    <row r="621">
      <c r="A621" s="14"/>
      <c r="B621" s="20"/>
      <c r="C621" s="13"/>
      <c r="D621" s="20"/>
      <c r="E621" s="14"/>
      <c r="F621" s="14"/>
    </row>
    <row r="622">
      <c r="A622" s="14"/>
      <c r="B622" s="20"/>
      <c r="C622" s="13"/>
      <c r="D622" s="20"/>
      <c r="E622" s="14"/>
      <c r="F622" s="14"/>
    </row>
    <row r="623">
      <c r="A623" s="14"/>
      <c r="B623" s="20"/>
      <c r="C623" s="13"/>
      <c r="D623" s="20"/>
      <c r="E623" s="14"/>
      <c r="F623" s="14"/>
    </row>
    <row r="624">
      <c r="A624" s="14"/>
      <c r="B624" s="20"/>
      <c r="C624" s="13"/>
      <c r="D624" s="20"/>
      <c r="E624" s="14"/>
      <c r="F624" s="14"/>
    </row>
    <row r="625">
      <c r="A625" s="14"/>
      <c r="B625" s="20"/>
      <c r="C625" s="13"/>
      <c r="D625" s="20"/>
      <c r="E625" s="14"/>
      <c r="F625" s="14"/>
    </row>
    <row r="626">
      <c r="A626" s="14"/>
      <c r="B626" s="20"/>
      <c r="C626" s="13"/>
      <c r="D626" s="20"/>
      <c r="E626" s="14"/>
      <c r="F626" s="14"/>
    </row>
    <row r="627">
      <c r="A627" s="14"/>
      <c r="B627" s="20"/>
      <c r="C627" s="13"/>
      <c r="D627" s="20"/>
      <c r="E627" s="14"/>
      <c r="F627" s="14"/>
    </row>
    <row r="628">
      <c r="A628" s="14"/>
      <c r="B628" s="20"/>
      <c r="C628" s="13"/>
      <c r="D628" s="20"/>
      <c r="E628" s="14"/>
      <c r="F628" s="14"/>
    </row>
    <row r="629">
      <c r="A629" s="14"/>
      <c r="B629" s="20"/>
      <c r="C629" s="13"/>
      <c r="D629" s="20"/>
      <c r="E629" s="14"/>
      <c r="F629" s="14"/>
    </row>
    <row r="630">
      <c r="A630" s="14"/>
      <c r="B630" s="20"/>
      <c r="C630" s="13"/>
      <c r="D630" s="20"/>
      <c r="E630" s="14"/>
      <c r="F630" s="14"/>
    </row>
    <row r="631">
      <c r="A631" s="14"/>
      <c r="B631" s="20"/>
      <c r="C631" s="13"/>
      <c r="D631" s="20"/>
      <c r="E631" s="14"/>
      <c r="F631" s="14"/>
    </row>
    <row r="632">
      <c r="A632" s="14"/>
      <c r="B632" s="20"/>
      <c r="C632" s="13"/>
      <c r="D632" s="20"/>
      <c r="E632" s="14"/>
      <c r="F632" s="14"/>
    </row>
    <row r="633">
      <c r="A633" s="14"/>
      <c r="B633" s="20"/>
      <c r="C633" s="13"/>
      <c r="D633" s="20"/>
      <c r="E633" s="14"/>
      <c r="F633" s="14"/>
    </row>
    <row r="634">
      <c r="A634" s="14"/>
      <c r="B634" s="20"/>
      <c r="C634" s="13"/>
      <c r="D634" s="20"/>
      <c r="E634" s="14"/>
      <c r="F634" s="14"/>
    </row>
    <row r="635">
      <c r="A635" s="14"/>
      <c r="B635" s="20"/>
      <c r="C635" s="13"/>
      <c r="D635" s="20"/>
      <c r="E635" s="14"/>
      <c r="F635" s="14"/>
    </row>
    <row r="636">
      <c r="A636" s="14"/>
      <c r="B636" s="20"/>
      <c r="C636" s="13"/>
      <c r="D636" s="20"/>
      <c r="E636" s="14"/>
      <c r="F636" s="14"/>
    </row>
    <row r="637">
      <c r="A637" s="14"/>
      <c r="B637" s="20"/>
      <c r="C637" s="13"/>
      <c r="D637" s="20"/>
      <c r="E637" s="14"/>
      <c r="F637" s="14"/>
    </row>
    <row r="638">
      <c r="A638" s="14"/>
      <c r="B638" s="20"/>
      <c r="C638" s="13"/>
      <c r="D638" s="20"/>
      <c r="E638" s="14"/>
      <c r="F638" s="14"/>
    </row>
    <row r="639">
      <c r="A639" s="14"/>
      <c r="B639" s="20"/>
      <c r="C639" s="13"/>
      <c r="D639" s="20"/>
      <c r="E639" s="14"/>
      <c r="F639" s="14"/>
    </row>
    <row r="640">
      <c r="A640" s="14"/>
      <c r="B640" s="20"/>
      <c r="C640" s="13"/>
      <c r="D640" s="20"/>
      <c r="E640" s="14"/>
      <c r="F640" s="14"/>
    </row>
    <row r="641">
      <c r="A641" s="14"/>
      <c r="B641" s="20"/>
      <c r="C641" s="13"/>
      <c r="D641" s="20"/>
      <c r="E641" s="14"/>
      <c r="F641" s="14"/>
    </row>
    <row r="642">
      <c r="A642" s="14"/>
      <c r="B642" s="20"/>
      <c r="C642" s="13"/>
      <c r="D642" s="20"/>
      <c r="E642" s="14"/>
      <c r="F642" s="14"/>
    </row>
    <row r="643">
      <c r="A643" s="14"/>
      <c r="B643" s="20"/>
      <c r="C643" s="13"/>
      <c r="D643" s="20"/>
      <c r="E643" s="14"/>
      <c r="F643" s="14"/>
    </row>
    <row r="644">
      <c r="A644" s="14"/>
      <c r="B644" s="20"/>
      <c r="C644" s="13"/>
      <c r="D644" s="20"/>
      <c r="E644" s="14"/>
      <c r="F644" s="14"/>
    </row>
    <row r="645">
      <c r="A645" s="14"/>
      <c r="B645" s="20"/>
      <c r="C645" s="13"/>
      <c r="D645" s="20"/>
      <c r="E645" s="14"/>
      <c r="F645" s="14"/>
    </row>
    <row r="646">
      <c r="A646" s="14"/>
      <c r="B646" s="20"/>
      <c r="C646" s="13"/>
      <c r="D646" s="20"/>
      <c r="E646" s="14"/>
      <c r="F646" s="14"/>
    </row>
    <row r="647">
      <c r="A647" s="14"/>
      <c r="B647" s="20"/>
      <c r="C647" s="13"/>
      <c r="D647" s="20"/>
      <c r="E647" s="14"/>
      <c r="F647" s="14"/>
    </row>
    <row r="648">
      <c r="A648" s="14"/>
      <c r="B648" s="20"/>
      <c r="C648" s="13"/>
      <c r="D648" s="20"/>
      <c r="E648" s="14"/>
      <c r="F648" s="14"/>
    </row>
    <row r="649">
      <c r="A649" s="14"/>
      <c r="B649" s="20"/>
      <c r="C649" s="13"/>
      <c r="D649" s="20"/>
      <c r="E649" s="14"/>
      <c r="F649" s="14"/>
    </row>
    <row r="650">
      <c r="A650" s="14"/>
      <c r="B650" s="20"/>
      <c r="C650" s="13"/>
      <c r="D650" s="20"/>
      <c r="E650" s="14"/>
      <c r="F650" s="14"/>
    </row>
    <row r="651">
      <c r="A651" s="14"/>
      <c r="B651" s="20"/>
      <c r="C651" s="13"/>
      <c r="D651" s="20"/>
      <c r="E651" s="14"/>
      <c r="F651" s="14"/>
    </row>
    <row r="652">
      <c r="A652" s="14"/>
      <c r="B652" s="20"/>
      <c r="C652" s="13"/>
      <c r="D652" s="20"/>
      <c r="E652" s="14"/>
      <c r="F652" s="14"/>
    </row>
    <row r="653">
      <c r="A653" s="14"/>
      <c r="B653" s="20"/>
      <c r="C653" s="13"/>
      <c r="D653" s="20"/>
      <c r="E653" s="14"/>
      <c r="F653" s="14"/>
    </row>
    <row r="654">
      <c r="A654" s="14"/>
      <c r="B654" s="20"/>
      <c r="C654" s="13"/>
      <c r="D654" s="20"/>
      <c r="E654" s="14"/>
      <c r="F654" s="14"/>
    </row>
    <row r="655">
      <c r="A655" s="14"/>
      <c r="B655" s="20"/>
      <c r="C655" s="13"/>
      <c r="D655" s="20"/>
      <c r="E655" s="14"/>
      <c r="F655" s="14"/>
    </row>
    <row r="656">
      <c r="A656" s="14"/>
      <c r="B656" s="20"/>
      <c r="C656" s="13"/>
      <c r="D656" s="20"/>
      <c r="E656" s="14"/>
      <c r="F656" s="14"/>
    </row>
    <row r="657">
      <c r="A657" s="14"/>
      <c r="B657" s="20"/>
      <c r="C657" s="13"/>
      <c r="D657" s="20"/>
      <c r="E657" s="14"/>
      <c r="F657" s="14"/>
    </row>
    <row r="658">
      <c r="A658" s="14"/>
      <c r="B658" s="20"/>
      <c r="C658" s="13"/>
      <c r="D658" s="20"/>
      <c r="E658" s="14"/>
      <c r="F658" s="14"/>
    </row>
    <row r="659">
      <c r="A659" s="14"/>
      <c r="B659" s="20"/>
      <c r="C659" s="13"/>
      <c r="D659" s="20"/>
      <c r="E659" s="14"/>
      <c r="F659" s="14"/>
    </row>
    <row r="660">
      <c r="A660" s="14"/>
      <c r="B660" s="20"/>
      <c r="C660" s="13"/>
      <c r="D660" s="20"/>
      <c r="E660" s="14"/>
      <c r="F660" s="14"/>
    </row>
    <row r="661">
      <c r="A661" s="14"/>
      <c r="B661" s="20"/>
      <c r="C661" s="13"/>
      <c r="D661" s="20"/>
      <c r="E661" s="14"/>
      <c r="F661" s="14"/>
    </row>
    <row r="662">
      <c r="A662" s="14"/>
      <c r="B662" s="20"/>
      <c r="C662" s="13"/>
      <c r="D662" s="20"/>
      <c r="E662" s="14"/>
      <c r="F662" s="14"/>
    </row>
    <row r="663">
      <c r="A663" s="14"/>
      <c r="B663" s="20"/>
      <c r="C663" s="13"/>
      <c r="D663" s="20"/>
      <c r="E663" s="14"/>
      <c r="F663" s="14"/>
    </row>
    <row r="664">
      <c r="A664" s="14"/>
      <c r="B664" s="20"/>
      <c r="C664" s="13"/>
      <c r="D664" s="20"/>
      <c r="E664" s="14"/>
      <c r="F664" s="14"/>
    </row>
    <row r="665">
      <c r="A665" s="14"/>
      <c r="B665" s="20"/>
      <c r="C665" s="13"/>
      <c r="D665" s="20"/>
      <c r="E665" s="14"/>
      <c r="F665" s="14"/>
    </row>
    <row r="666">
      <c r="A666" s="14"/>
      <c r="B666" s="20"/>
      <c r="C666" s="13"/>
      <c r="D666" s="20"/>
      <c r="E666" s="14"/>
      <c r="F666" s="14"/>
    </row>
    <row r="667">
      <c r="A667" s="14"/>
      <c r="B667" s="20"/>
      <c r="C667" s="13"/>
      <c r="D667" s="20"/>
      <c r="E667" s="14"/>
      <c r="F667" s="14"/>
    </row>
    <row r="668">
      <c r="A668" s="14"/>
      <c r="B668" s="20"/>
      <c r="C668" s="13"/>
      <c r="D668" s="20"/>
      <c r="E668" s="14"/>
      <c r="F668" s="14"/>
    </row>
    <row r="669">
      <c r="A669" s="14"/>
      <c r="B669" s="20"/>
      <c r="C669" s="13"/>
      <c r="D669" s="20"/>
      <c r="E669" s="14"/>
      <c r="F669" s="14"/>
    </row>
    <row r="670">
      <c r="A670" s="14"/>
      <c r="B670" s="20"/>
      <c r="C670" s="13"/>
      <c r="D670" s="20"/>
      <c r="E670" s="14"/>
      <c r="F670" s="14"/>
    </row>
    <row r="671">
      <c r="A671" s="14"/>
      <c r="B671" s="20"/>
      <c r="C671" s="13"/>
      <c r="D671" s="20"/>
      <c r="E671" s="14"/>
      <c r="F671" s="14"/>
    </row>
    <row r="672">
      <c r="A672" s="14"/>
      <c r="B672" s="20"/>
      <c r="C672" s="13"/>
      <c r="D672" s="20"/>
      <c r="E672" s="14"/>
      <c r="F672" s="14"/>
    </row>
    <row r="673">
      <c r="A673" s="14"/>
      <c r="B673" s="20"/>
      <c r="C673" s="13"/>
      <c r="D673" s="20"/>
      <c r="E673" s="14"/>
      <c r="F673" s="14"/>
    </row>
    <row r="674">
      <c r="A674" s="14"/>
      <c r="B674" s="20"/>
      <c r="C674" s="13"/>
      <c r="D674" s="20"/>
      <c r="E674" s="14"/>
      <c r="F674" s="14"/>
    </row>
    <row r="675">
      <c r="A675" s="14"/>
      <c r="B675" s="20"/>
      <c r="C675" s="13"/>
      <c r="D675" s="20"/>
      <c r="E675" s="14"/>
      <c r="F675" s="14"/>
    </row>
    <row r="676">
      <c r="A676" s="14"/>
      <c r="B676" s="20"/>
      <c r="C676" s="13"/>
      <c r="D676" s="20"/>
      <c r="E676" s="14"/>
      <c r="F676" s="14"/>
    </row>
    <row r="677">
      <c r="A677" s="14"/>
      <c r="B677" s="20"/>
      <c r="C677" s="13"/>
      <c r="D677" s="20"/>
      <c r="E677" s="14"/>
      <c r="F677" s="14"/>
    </row>
    <row r="678">
      <c r="A678" s="14"/>
      <c r="B678" s="20"/>
      <c r="C678" s="13"/>
      <c r="D678" s="20"/>
      <c r="E678" s="14"/>
      <c r="F678" s="14"/>
    </row>
    <row r="679">
      <c r="A679" s="14"/>
      <c r="B679" s="20"/>
      <c r="C679" s="13"/>
      <c r="D679" s="20"/>
      <c r="E679" s="14"/>
      <c r="F679" s="14"/>
    </row>
    <row r="680">
      <c r="A680" s="14"/>
      <c r="B680" s="20"/>
      <c r="C680" s="13"/>
      <c r="D680" s="20"/>
      <c r="E680" s="14"/>
      <c r="F680" s="14"/>
    </row>
    <row r="681">
      <c r="A681" s="14"/>
      <c r="B681" s="20"/>
      <c r="C681" s="13"/>
      <c r="D681" s="20"/>
      <c r="E681" s="14"/>
      <c r="F681" s="14"/>
    </row>
    <row r="682">
      <c r="A682" s="14"/>
      <c r="B682" s="20"/>
      <c r="C682" s="13"/>
      <c r="D682" s="20"/>
      <c r="E682" s="14"/>
      <c r="F682" s="14"/>
    </row>
    <row r="683">
      <c r="A683" s="14"/>
      <c r="B683" s="20"/>
      <c r="C683" s="13"/>
      <c r="D683" s="20"/>
      <c r="E683" s="14"/>
      <c r="F683" s="14"/>
    </row>
    <row r="684">
      <c r="A684" s="14"/>
      <c r="B684" s="20"/>
      <c r="C684" s="13"/>
      <c r="D684" s="20"/>
      <c r="E684" s="14"/>
      <c r="F684" s="14"/>
    </row>
    <row r="685">
      <c r="A685" s="14"/>
      <c r="B685" s="20"/>
      <c r="C685" s="13"/>
      <c r="D685" s="20"/>
      <c r="E685" s="14"/>
      <c r="F685" s="14"/>
    </row>
    <row r="686">
      <c r="A686" s="14"/>
      <c r="B686" s="20"/>
      <c r="C686" s="13"/>
      <c r="D686" s="20"/>
      <c r="E686" s="14"/>
      <c r="F686" s="14"/>
    </row>
    <row r="687">
      <c r="A687" s="14"/>
      <c r="B687" s="20"/>
      <c r="C687" s="13"/>
      <c r="D687" s="20"/>
      <c r="E687" s="14"/>
      <c r="F687" s="14"/>
    </row>
    <row r="688">
      <c r="A688" s="14"/>
      <c r="B688" s="20"/>
      <c r="C688" s="13"/>
      <c r="D688" s="20"/>
      <c r="E688" s="14"/>
      <c r="F688" s="14"/>
    </row>
    <row r="689">
      <c r="A689" s="14"/>
      <c r="B689" s="20"/>
      <c r="C689" s="13"/>
      <c r="D689" s="20"/>
      <c r="E689" s="14"/>
      <c r="F689" s="14"/>
    </row>
    <row r="690">
      <c r="A690" s="14"/>
      <c r="B690" s="20"/>
      <c r="C690" s="13"/>
      <c r="D690" s="20"/>
      <c r="E690" s="14"/>
      <c r="F690" s="14"/>
    </row>
    <row r="691">
      <c r="A691" s="14"/>
      <c r="B691" s="20"/>
      <c r="C691" s="13"/>
      <c r="D691" s="20"/>
      <c r="E691" s="14"/>
      <c r="F691" s="14"/>
    </row>
    <row r="692">
      <c r="A692" s="14"/>
      <c r="B692" s="20"/>
      <c r="C692" s="13"/>
      <c r="D692" s="20"/>
      <c r="E692" s="14"/>
      <c r="F692" s="14"/>
    </row>
    <row r="693">
      <c r="A693" s="14"/>
      <c r="B693" s="20"/>
      <c r="C693" s="13"/>
      <c r="D693" s="20"/>
      <c r="E693" s="14"/>
      <c r="F693" s="14"/>
    </row>
    <row r="694">
      <c r="A694" s="14"/>
      <c r="B694" s="20"/>
      <c r="C694" s="13"/>
      <c r="D694" s="20"/>
      <c r="E694" s="14"/>
      <c r="F694" s="14"/>
    </row>
    <row r="695">
      <c r="A695" s="14"/>
      <c r="B695" s="20"/>
      <c r="C695" s="13"/>
      <c r="D695" s="20"/>
      <c r="E695" s="14"/>
      <c r="F695" s="14"/>
    </row>
    <row r="696">
      <c r="A696" s="14"/>
      <c r="B696" s="20"/>
      <c r="C696" s="13"/>
      <c r="D696" s="20"/>
      <c r="E696" s="14"/>
      <c r="F696" s="14"/>
    </row>
    <row r="697">
      <c r="A697" s="14"/>
      <c r="B697" s="20"/>
      <c r="C697" s="13"/>
      <c r="D697" s="20"/>
      <c r="E697" s="14"/>
      <c r="F697" s="14"/>
    </row>
    <row r="698">
      <c r="A698" s="14"/>
      <c r="B698" s="20"/>
      <c r="C698" s="13"/>
      <c r="D698" s="20"/>
      <c r="E698" s="14"/>
      <c r="F698" s="14"/>
    </row>
    <row r="699">
      <c r="A699" s="14"/>
      <c r="B699" s="20"/>
      <c r="C699" s="13"/>
      <c r="D699" s="20"/>
      <c r="E699" s="14"/>
      <c r="F699" s="14"/>
    </row>
    <row r="700">
      <c r="A700" s="14"/>
      <c r="B700" s="20"/>
      <c r="C700" s="13"/>
      <c r="D700" s="20"/>
      <c r="E700" s="14"/>
      <c r="F700" s="14"/>
    </row>
    <row r="701">
      <c r="A701" s="14"/>
      <c r="B701" s="20"/>
      <c r="C701" s="13"/>
      <c r="D701" s="20"/>
      <c r="E701" s="14"/>
      <c r="F701" s="14"/>
    </row>
    <row r="702">
      <c r="A702" s="14"/>
      <c r="B702" s="20"/>
      <c r="C702" s="13"/>
      <c r="D702" s="20"/>
      <c r="E702" s="14"/>
      <c r="F702" s="14"/>
    </row>
    <row r="703">
      <c r="A703" s="14"/>
      <c r="B703" s="20"/>
      <c r="C703" s="13"/>
      <c r="D703" s="20"/>
      <c r="E703" s="14"/>
      <c r="F703" s="14"/>
    </row>
    <row r="704">
      <c r="A704" s="14"/>
      <c r="B704" s="20"/>
      <c r="C704" s="13"/>
      <c r="D704" s="20"/>
      <c r="E704" s="14"/>
      <c r="F704" s="14"/>
    </row>
    <row r="705">
      <c r="A705" s="14"/>
      <c r="B705" s="20"/>
      <c r="C705" s="13"/>
      <c r="D705" s="20"/>
      <c r="E705" s="14"/>
      <c r="F705" s="14"/>
    </row>
    <row r="706">
      <c r="A706" s="14"/>
      <c r="B706" s="20"/>
      <c r="C706" s="13"/>
      <c r="D706" s="20"/>
      <c r="E706" s="14"/>
      <c r="F706" s="14"/>
    </row>
    <row r="707">
      <c r="A707" s="14"/>
      <c r="B707" s="20"/>
      <c r="C707" s="13"/>
      <c r="D707" s="20"/>
      <c r="E707" s="14"/>
      <c r="F707" s="14"/>
    </row>
    <row r="708">
      <c r="A708" s="14"/>
      <c r="B708" s="20"/>
      <c r="C708" s="13"/>
      <c r="D708" s="20"/>
      <c r="E708" s="14"/>
      <c r="F708" s="14"/>
    </row>
    <row r="709">
      <c r="A709" s="14"/>
      <c r="B709" s="20"/>
      <c r="C709" s="13"/>
      <c r="D709" s="20"/>
      <c r="E709" s="14"/>
      <c r="F709" s="14"/>
    </row>
    <row r="710">
      <c r="A710" s="14"/>
      <c r="B710" s="20"/>
      <c r="C710" s="13"/>
      <c r="D710" s="20"/>
      <c r="E710" s="14"/>
      <c r="F710" s="14"/>
    </row>
    <row r="711">
      <c r="A711" s="14"/>
      <c r="B711" s="20"/>
      <c r="C711" s="13"/>
      <c r="D711" s="20"/>
      <c r="E711" s="14"/>
      <c r="F711" s="14"/>
    </row>
    <row r="712">
      <c r="A712" s="14"/>
      <c r="B712" s="20"/>
      <c r="C712" s="13"/>
      <c r="D712" s="20"/>
      <c r="E712" s="14"/>
      <c r="F712" s="14"/>
    </row>
    <row r="713">
      <c r="A713" s="14"/>
      <c r="B713" s="20"/>
      <c r="C713" s="13"/>
      <c r="D713" s="20"/>
      <c r="E713" s="14"/>
      <c r="F713" s="14"/>
    </row>
    <row r="714">
      <c r="A714" s="14"/>
      <c r="B714" s="20"/>
      <c r="C714" s="13"/>
      <c r="D714" s="20"/>
      <c r="E714" s="14"/>
      <c r="F714" s="14"/>
    </row>
    <row r="715">
      <c r="A715" s="14"/>
      <c r="B715" s="20"/>
      <c r="C715" s="13"/>
      <c r="D715" s="20"/>
      <c r="E715" s="14"/>
      <c r="F715" s="14"/>
    </row>
    <row r="716">
      <c r="A716" s="14"/>
      <c r="B716" s="20"/>
      <c r="C716" s="13"/>
      <c r="D716" s="20"/>
      <c r="E716" s="14"/>
      <c r="F716" s="14"/>
    </row>
    <row r="717">
      <c r="A717" s="14"/>
      <c r="B717" s="20"/>
      <c r="C717" s="13"/>
      <c r="D717" s="20"/>
      <c r="E717" s="14"/>
      <c r="F717" s="14"/>
    </row>
    <row r="718">
      <c r="A718" s="14"/>
      <c r="B718" s="20"/>
      <c r="C718" s="13"/>
      <c r="D718" s="20"/>
      <c r="E718" s="14"/>
      <c r="F718" s="14"/>
    </row>
    <row r="719">
      <c r="A719" s="14"/>
      <c r="B719" s="20"/>
      <c r="C719" s="13"/>
      <c r="D719" s="20"/>
      <c r="E719" s="14"/>
      <c r="F719" s="14"/>
    </row>
    <row r="720">
      <c r="A720" s="14"/>
      <c r="B720" s="20"/>
      <c r="C720" s="13"/>
      <c r="D720" s="20"/>
      <c r="E720" s="14"/>
      <c r="F720" s="14"/>
    </row>
    <row r="721">
      <c r="A721" s="14"/>
      <c r="B721" s="20"/>
      <c r="C721" s="13"/>
      <c r="D721" s="20"/>
      <c r="E721" s="14"/>
      <c r="F721" s="14"/>
    </row>
    <row r="722">
      <c r="A722" s="14"/>
      <c r="B722" s="20"/>
      <c r="C722" s="13"/>
      <c r="D722" s="20"/>
      <c r="E722" s="14"/>
      <c r="F722" s="14"/>
    </row>
    <row r="723">
      <c r="A723" s="14"/>
      <c r="B723" s="20"/>
      <c r="C723" s="13"/>
      <c r="D723" s="20"/>
      <c r="E723" s="14"/>
      <c r="F723" s="14"/>
    </row>
    <row r="724">
      <c r="A724" s="14"/>
      <c r="B724" s="20"/>
      <c r="C724" s="13"/>
      <c r="D724" s="20"/>
      <c r="E724" s="14"/>
      <c r="F724" s="14"/>
    </row>
    <row r="725">
      <c r="A725" s="14"/>
      <c r="B725" s="20"/>
      <c r="C725" s="13"/>
      <c r="D725" s="20"/>
      <c r="E725" s="14"/>
      <c r="F725" s="14"/>
    </row>
    <row r="726">
      <c r="A726" s="14"/>
      <c r="B726" s="20"/>
      <c r="C726" s="13"/>
      <c r="D726" s="20"/>
      <c r="E726" s="14"/>
      <c r="F726" s="14"/>
    </row>
    <row r="727">
      <c r="A727" s="14"/>
      <c r="B727" s="20"/>
      <c r="C727" s="13"/>
      <c r="D727" s="20"/>
      <c r="E727" s="14"/>
      <c r="F727" s="14"/>
    </row>
    <row r="728">
      <c r="A728" s="14"/>
      <c r="B728" s="20"/>
      <c r="C728" s="13"/>
      <c r="D728" s="20"/>
      <c r="E728" s="14"/>
      <c r="F728" s="14"/>
    </row>
    <row r="729">
      <c r="A729" s="14"/>
      <c r="B729" s="20"/>
      <c r="C729" s="13"/>
      <c r="D729" s="20"/>
      <c r="E729" s="14"/>
      <c r="F729" s="14"/>
    </row>
    <row r="730">
      <c r="A730" s="14"/>
      <c r="B730" s="20"/>
      <c r="C730" s="13"/>
      <c r="D730" s="20"/>
      <c r="E730" s="14"/>
      <c r="F730" s="14"/>
    </row>
    <row r="731">
      <c r="A731" s="14"/>
      <c r="B731" s="20"/>
      <c r="C731" s="13"/>
      <c r="D731" s="20"/>
      <c r="E731" s="14"/>
      <c r="F731" s="14"/>
    </row>
    <row r="732">
      <c r="A732" s="14"/>
      <c r="B732" s="20"/>
      <c r="C732" s="13"/>
      <c r="D732" s="20"/>
      <c r="E732" s="14"/>
      <c r="F732" s="14"/>
    </row>
    <row r="733">
      <c r="A733" s="14"/>
      <c r="B733" s="20"/>
      <c r="C733" s="13"/>
      <c r="D733" s="20"/>
      <c r="E733" s="14"/>
      <c r="F733" s="14"/>
    </row>
    <row r="734">
      <c r="A734" s="14"/>
      <c r="B734" s="20"/>
      <c r="C734" s="13"/>
      <c r="D734" s="20"/>
      <c r="E734" s="14"/>
      <c r="F734" s="14"/>
    </row>
    <row r="735">
      <c r="A735" s="14"/>
      <c r="B735" s="20"/>
      <c r="C735" s="13"/>
      <c r="D735" s="20"/>
      <c r="E735" s="14"/>
      <c r="F735" s="14"/>
    </row>
    <row r="736">
      <c r="A736" s="14"/>
      <c r="B736" s="20"/>
      <c r="C736" s="13"/>
      <c r="D736" s="20"/>
      <c r="E736" s="14"/>
      <c r="F736" s="14"/>
    </row>
    <row r="737">
      <c r="A737" s="14"/>
      <c r="B737" s="20"/>
      <c r="C737" s="13"/>
      <c r="D737" s="20"/>
      <c r="E737" s="14"/>
      <c r="F737" s="14"/>
    </row>
    <row r="738">
      <c r="A738" s="14"/>
      <c r="B738" s="20"/>
      <c r="C738" s="13"/>
      <c r="D738" s="20"/>
      <c r="E738" s="14"/>
      <c r="F738" s="14"/>
    </row>
    <row r="739">
      <c r="A739" s="14"/>
      <c r="B739" s="20"/>
      <c r="C739" s="13"/>
      <c r="D739" s="20"/>
      <c r="E739" s="14"/>
      <c r="F739" s="14"/>
    </row>
    <row r="740">
      <c r="A740" s="14"/>
      <c r="B740" s="20"/>
      <c r="C740" s="13"/>
      <c r="D740" s="20"/>
      <c r="E740" s="14"/>
      <c r="F740" s="14"/>
    </row>
    <row r="741">
      <c r="A741" s="14"/>
      <c r="B741" s="20"/>
      <c r="C741" s="13"/>
      <c r="D741" s="20"/>
      <c r="E741" s="14"/>
      <c r="F741" s="14"/>
    </row>
    <row r="742">
      <c r="A742" s="14"/>
      <c r="B742" s="20"/>
      <c r="C742" s="13"/>
      <c r="D742" s="20"/>
      <c r="E742" s="14"/>
      <c r="F742" s="14"/>
    </row>
    <row r="743">
      <c r="A743" s="14"/>
      <c r="B743" s="20"/>
      <c r="C743" s="13"/>
      <c r="D743" s="20"/>
      <c r="E743" s="14"/>
      <c r="F743" s="14"/>
    </row>
    <row r="744">
      <c r="A744" s="14"/>
      <c r="B744" s="20"/>
      <c r="C744" s="13"/>
      <c r="D744" s="20"/>
      <c r="E744" s="14"/>
      <c r="F744" s="14"/>
    </row>
    <row r="745">
      <c r="A745" s="14"/>
      <c r="B745" s="20"/>
      <c r="C745" s="13"/>
      <c r="D745" s="20"/>
      <c r="E745" s="14"/>
      <c r="F745" s="14"/>
    </row>
    <row r="746">
      <c r="A746" s="14"/>
      <c r="B746" s="20"/>
      <c r="C746" s="13"/>
      <c r="D746" s="20"/>
      <c r="E746" s="14"/>
      <c r="F746" s="14"/>
    </row>
    <row r="747">
      <c r="A747" s="14"/>
      <c r="B747" s="20"/>
      <c r="C747" s="13"/>
      <c r="D747" s="20"/>
      <c r="E747" s="14"/>
      <c r="F747" s="14"/>
    </row>
    <row r="748">
      <c r="A748" s="14"/>
      <c r="B748" s="20"/>
      <c r="C748" s="13"/>
      <c r="D748" s="20"/>
      <c r="E748" s="14"/>
      <c r="F748" s="14"/>
    </row>
    <row r="749">
      <c r="A749" s="14"/>
      <c r="B749" s="20"/>
      <c r="C749" s="13"/>
      <c r="D749" s="20"/>
      <c r="E749" s="14"/>
      <c r="F749" s="14"/>
    </row>
    <row r="750">
      <c r="A750" s="14"/>
      <c r="B750" s="20"/>
      <c r="C750" s="13"/>
      <c r="D750" s="20"/>
      <c r="E750" s="14"/>
      <c r="F750" s="14"/>
    </row>
    <row r="751">
      <c r="A751" s="14"/>
      <c r="B751" s="20"/>
      <c r="C751" s="13"/>
      <c r="D751" s="20"/>
      <c r="E751" s="14"/>
      <c r="F751" s="14"/>
    </row>
    <row r="752">
      <c r="A752" s="14"/>
      <c r="B752" s="20"/>
      <c r="C752" s="13"/>
      <c r="D752" s="20"/>
      <c r="E752" s="14"/>
      <c r="F752" s="14"/>
    </row>
    <row r="753">
      <c r="A753" s="14"/>
      <c r="B753" s="20"/>
      <c r="C753" s="13"/>
      <c r="D753" s="20"/>
      <c r="E753" s="14"/>
      <c r="F753" s="14"/>
    </row>
    <row r="754">
      <c r="A754" s="14"/>
      <c r="B754" s="20"/>
      <c r="C754" s="13"/>
      <c r="D754" s="20"/>
      <c r="E754" s="14"/>
      <c r="F754" s="14"/>
    </row>
    <row r="755">
      <c r="A755" s="14"/>
      <c r="B755" s="20"/>
      <c r="C755" s="13"/>
      <c r="D755" s="20"/>
      <c r="E755" s="14"/>
      <c r="F755" s="14"/>
    </row>
    <row r="756">
      <c r="A756" s="14"/>
      <c r="B756" s="20"/>
      <c r="C756" s="13"/>
      <c r="D756" s="20"/>
      <c r="E756" s="14"/>
      <c r="F756" s="14"/>
    </row>
    <row r="757">
      <c r="A757" s="14"/>
      <c r="B757" s="20"/>
      <c r="C757" s="13"/>
      <c r="D757" s="20"/>
      <c r="E757" s="14"/>
      <c r="F757" s="14"/>
    </row>
    <row r="758">
      <c r="A758" s="14"/>
      <c r="B758" s="20"/>
      <c r="C758" s="13"/>
      <c r="D758" s="20"/>
      <c r="E758" s="14"/>
      <c r="F758" s="14"/>
    </row>
    <row r="759">
      <c r="A759" s="14"/>
      <c r="B759" s="20"/>
      <c r="C759" s="13"/>
      <c r="D759" s="20"/>
      <c r="E759" s="14"/>
      <c r="F759" s="14"/>
    </row>
    <row r="760">
      <c r="A760" s="14"/>
      <c r="B760" s="20"/>
      <c r="C760" s="13"/>
      <c r="D760" s="20"/>
      <c r="E760" s="14"/>
      <c r="F760" s="14"/>
    </row>
    <row r="761">
      <c r="A761" s="14"/>
      <c r="B761" s="20"/>
      <c r="C761" s="13"/>
      <c r="D761" s="20"/>
      <c r="E761" s="14"/>
      <c r="F761" s="14"/>
    </row>
    <row r="762">
      <c r="A762" s="14"/>
      <c r="B762" s="20"/>
      <c r="C762" s="13"/>
      <c r="D762" s="20"/>
      <c r="E762" s="14"/>
      <c r="F762" s="14"/>
    </row>
    <row r="763">
      <c r="A763" s="14"/>
      <c r="B763" s="20"/>
      <c r="C763" s="13"/>
      <c r="D763" s="20"/>
      <c r="E763" s="14"/>
      <c r="F763" s="14"/>
    </row>
    <row r="764">
      <c r="A764" s="14"/>
      <c r="B764" s="20"/>
      <c r="C764" s="13"/>
      <c r="D764" s="20"/>
      <c r="E764" s="14"/>
      <c r="F764" s="14"/>
    </row>
    <row r="765">
      <c r="A765" s="14"/>
      <c r="B765" s="20"/>
      <c r="C765" s="13"/>
      <c r="D765" s="20"/>
      <c r="E765" s="14"/>
      <c r="F765" s="14"/>
    </row>
    <row r="766">
      <c r="A766" s="14"/>
      <c r="B766" s="20"/>
      <c r="C766" s="13"/>
      <c r="D766" s="20"/>
      <c r="E766" s="14"/>
      <c r="F766" s="14"/>
    </row>
    <row r="767">
      <c r="A767" s="14"/>
      <c r="B767" s="20"/>
      <c r="C767" s="13"/>
      <c r="D767" s="20"/>
      <c r="E767" s="14"/>
      <c r="F767" s="14"/>
    </row>
    <row r="768">
      <c r="A768" s="14"/>
      <c r="B768" s="20"/>
      <c r="C768" s="13"/>
      <c r="D768" s="20"/>
      <c r="E768" s="14"/>
      <c r="F768" s="14"/>
    </row>
    <row r="769">
      <c r="A769" s="14"/>
      <c r="B769" s="20"/>
      <c r="C769" s="13"/>
      <c r="D769" s="20"/>
      <c r="E769" s="14"/>
      <c r="F769" s="14"/>
    </row>
    <row r="770">
      <c r="A770" s="14"/>
      <c r="B770" s="20"/>
      <c r="C770" s="13"/>
      <c r="D770" s="20"/>
      <c r="E770" s="14"/>
      <c r="F770" s="14"/>
    </row>
    <row r="771">
      <c r="A771" s="14"/>
      <c r="B771" s="20"/>
      <c r="C771" s="13"/>
      <c r="D771" s="20"/>
      <c r="E771" s="14"/>
      <c r="F771" s="14"/>
    </row>
    <row r="772">
      <c r="A772" s="14"/>
      <c r="B772" s="20"/>
      <c r="C772" s="13"/>
      <c r="D772" s="20"/>
      <c r="E772" s="14"/>
      <c r="F772" s="14"/>
    </row>
    <row r="773">
      <c r="A773" s="14"/>
      <c r="B773" s="20"/>
      <c r="C773" s="13"/>
      <c r="D773" s="20"/>
      <c r="E773" s="14"/>
      <c r="F773" s="14"/>
    </row>
    <row r="774">
      <c r="A774" s="14"/>
      <c r="B774" s="20"/>
      <c r="C774" s="13"/>
      <c r="D774" s="20"/>
      <c r="E774" s="14"/>
      <c r="F774" s="14"/>
    </row>
    <row r="775">
      <c r="A775" s="14"/>
      <c r="B775" s="20"/>
      <c r="C775" s="13"/>
      <c r="D775" s="20"/>
      <c r="E775" s="14"/>
      <c r="F775" s="14"/>
    </row>
    <row r="776">
      <c r="A776" s="14"/>
      <c r="B776" s="20"/>
      <c r="C776" s="13"/>
      <c r="D776" s="20"/>
      <c r="E776" s="14"/>
      <c r="F776" s="14"/>
    </row>
    <row r="777">
      <c r="A777" s="14"/>
      <c r="B777" s="20"/>
      <c r="C777" s="13"/>
      <c r="D777" s="20"/>
      <c r="E777" s="14"/>
      <c r="F777" s="14"/>
    </row>
    <row r="778">
      <c r="A778" s="14"/>
      <c r="B778" s="20"/>
      <c r="C778" s="13"/>
      <c r="D778" s="20"/>
      <c r="E778" s="14"/>
      <c r="F778" s="14"/>
    </row>
    <row r="779">
      <c r="A779" s="14"/>
      <c r="B779" s="20"/>
      <c r="C779" s="13"/>
      <c r="D779" s="20"/>
      <c r="E779" s="14"/>
      <c r="F779" s="14"/>
    </row>
    <row r="780">
      <c r="A780" s="14"/>
      <c r="B780" s="20"/>
      <c r="C780" s="13"/>
      <c r="D780" s="20"/>
      <c r="E780" s="14"/>
      <c r="F780" s="14"/>
    </row>
    <row r="781">
      <c r="A781" s="14"/>
      <c r="B781" s="20"/>
      <c r="C781" s="13"/>
      <c r="D781" s="20"/>
      <c r="E781" s="14"/>
      <c r="F781" s="14"/>
    </row>
    <row r="782">
      <c r="A782" s="14"/>
      <c r="B782" s="20"/>
      <c r="C782" s="13"/>
      <c r="D782" s="20"/>
      <c r="E782" s="14"/>
      <c r="F782" s="14"/>
    </row>
    <row r="783">
      <c r="A783" s="14"/>
      <c r="B783" s="20"/>
      <c r="C783" s="13"/>
      <c r="D783" s="20"/>
      <c r="E783" s="14"/>
      <c r="F783" s="14"/>
    </row>
    <row r="784">
      <c r="A784" s="14"/>
      <c r="B784" s="20"/>
      <c r="C784" s="13"/>
      <c r="D784" s="20"/>
      <c r="E784" s="14"/>
      <c r="F784" s="14"/>
    </row>
    <row r="785">
      <c r="A785" s="14"/>
      <c r="B785" s="20"/>
      <c r="C785" s="13"/>
      <c r="D785" s="20"/>
      <c r="E785" s="14"/>
      <c r="F785" s="14"/>
    </row>
    <row r="786">
      <c r="A786" s="14"/>
      <c r="B786" s="20"/>
      <c r="C786" s="13"/>
      <c r="D786" s="20"/>
      <c r="E786" s="14"/>
      <c r="F786" s="14"/>
    </row>
    <row r="787">
      <c r="A787" s="14"/>
      <c r="B787" s="20"/>
      <c r="C787" s="13"/>
      <c r="D787" s="20"/>
      <c r="E787" s="14"/>
      <c r="F787" s="14"/>
    </row>
    <row r="788">
      <c r="A788" s="14"/>
      <c r="B788" s="20"/>
      <c r="C788" s="13"/>
      <c r="D788" s="20"/>
      <c r="E788" s="14"/>
      <c r="F788" s="14"/>
    </row>
    <row r="789">
      <c r="A789" s="14"/>
      <c r="B789" s="20"/>
      <c r="C789" s="13"/>
      <c r="D789" s="20"/>
      <c r="E789" s="14"/>
      <c r="F789" s="14"/>
    </row>
    <row r="790">
      <c r="A790" s="14"/>
      <c r="B790" s="20"/>
      <c r="C790" s="13"/>
      <c r="D790" s="20"/>
      <c r="E790" s="14"/>
      <c r="F790" s="14"/>
    </row>
    <row r="791">
      <c r="A791" s="14"/>
      <c r="B791" s="20"/>
      <c r="C791" s="13"/>
      <c r="D791" s="20"/>
      <c r="E791" s="14"/>
      <c r="F791" s="14"/>
    </row>
    <row r="792">
      <c r="A792" s="14"/>
      <c r="B792" s="20"/>
      <c r="C792" s="13"/>
      <c r="D792" s="20"/>
      <c r="E792" s="14"/>
      <c r="F792" s="14"/>
    </row>
    <row r="793">
      <c r="A793" s="14"/>
      <c r="B793" s="20"/>
      <c r="C793" s="13"/>
      <c r="D793" s="20"/>
      <c r="E793" s="14"/>
      <c r="F793" s="14"/>
    </row>
    <row r="794">
      <c r="A794" s="14"/>
      <c r="B794" s="20"/>
      <c r="C794" s="13"/>
      <c r="D794" s="20"/>
      <c r="E794" s="14"/>
      <c r="F794" s="14"/>
    </row>
    <row r="795">
      <c r="A795" s="14"/>
      <c r="B795" s="20"/>
      <c r="C795" s="13"/>
      <c r="D795" s="20"/>
      <c r="E795" s="14"/>
      <c r="F795" s="14"/>
    </row>
    <row r="796">
      <c r="A796" s="14"/>
      <c r="B796" s="20"/>
      <c r="C796" s="13"/>
      <c r="D796" s="20"/>
      <c r="E796" s="14"/>
      <c r="F796" s="14"/>
    </row>
    <row r="797">
      <c r="A797" s="14"/>
      <c r="B797" s="20"/>
      <c r="C797" s="13"/>
      <c r="D797" s="20"/>
      <c r="E797" s="14"/>
      <c r="F797" s="14"/>
    </row>
    <row r="798">
      <c r="A798" s="14"/>
      <c r="B798" s="20"/>
      <c r="C798" s="13"/>
      <c r="D798" s="20"/>
      <c r="E798" s="14"/>
      <c r="F798" s="14"/>
    </row>
    <row r="799">
      <c r="A799" s="14"/>
      <c r="B799" s="20"/>
      <c r="C799" s="13"/>
      <c r="D799" s="20"/>
      <c r="E799" s="14"/>
      <c r="F799" s="14"/>
    </row>
    <row r="800">
      <c r="A800" s="14"/>
      <c r="B800" s="20"/>
      <c r="C800" s="13"/>
      <c r="D800" s="20"/>
      <c r="E800" s="14"/>
      <c r="F800" s="14"/>
    </row>
    <row r="801">
      <c r="A801" s="14"/>
      <c r="B801" s="20"/>
      <c r="C801" s="13"/>
      <c r="D801" s="20"/>
      <c r="E801" s="14"/>
      <c r="F801" s="14"/>
    </row>
    <row r="802">
      <c r="A802" s="14"/>
      <c r="B802" s="20"/>
      <c r="C802" s="13"/>
      <c r="D802" s="20"/>
      <c r="E802" s="14"/>
      <c r="F802" s="14"/>
    </row>
    <row r="803">
      <c r="A803" s="14"/>
      <c r="B803" s="20"/>
      <c r="C803" s="13"/>
      <c r="D803" s="20"/>
      <c r="E803" s="14"/>
      <c r="F803" s="14"/>
    </row>
    <row r="804">
      <c r="A804" s="14"/>
      <c r="B804" s="20"/>
      <c r="C804" s="13"/>
      <c r="D804" s="20"/>
      <c r="E804" s="14"/>
      <c r="F804" s="14"/>
    </row>
    <row r="805">
      <c r="A805" s="14"/>
      <c r="B805" s="20"/>
      <c r="C805" s="13"/>
      <c r="D805" s="20"/>
      <c r="E805" s="14"/>
      <c r="F805" s="14"/>
    </row>
    <row r="806">
      <c r="A806" s="14"/>
      <c r="B806" s="20"/>
      <c r="C806" s="13"/>
      <c r="D806" s="20"/>
      <c r="E806" s="14"/>
      <c r="F806" s="14"/>
    </row>
    <row r="807">
      <c r="A807" s="14"/>
      <c r="B807" s="20"/>
      <c r="C807" s="13"/>
      <c r="D807" s="20"/>
      <c r="E807" s="14"/>
      <c r="F807" s="14"/>
    </row>
    <row r="808">
      <c r="A808" s="14"/>
      <c r="B808" s="20"/>
      <c r="C808" s="13"/>
      <c r="D808" s="20"/>
      <c r="E808" s="14"/>
      <c r="F808" s="14"/>
    </row>
    <row r="809">
      <c r="A809" s="14"/>
      <c r="B809" s="20"/>
      <c r="C809" s="13"/>
      <c r="D809" s="20"/>
      <c r="E809" s="14"/>
      <c r="F809" s="14"/>
    </row>
    <row r="810">
      <c r="A810" s="14"/>
      <c r="B810" s="20"/>
      <c r="C810" s="13"/>
      <c r="D810" s="20"/>
      <c r="E810" s="14"/>
      <c r="F810" s="14"/>
    </row>
    <row r="811">
      <c r="A811" s="14"/>
      <c r="B811" s="20"/>
      <c r="C811" s="13"/>
      <c r="D811" s="20"/>
      <c r="E811" s="14"/>
      <c r="F811" s="14"/>
    </row>
    <row r="812">
      <c r="A812" s="14"/>
      <c r="B812" s="20"/>
      <c r="C812" s="13"/>
      <c r="D812" s="20"/>
      <c r="E812" s="14"/>
      <c r="F812" s="14"/>
    </row>
    <row r="813">
      <c r="A813" s="14"/>
      <c r="B813" s="20"/>
      <c r="C813" s="13"/>
      <c r="D813" s="20"/>
      <c r="E813" s="14"/>
      <c r="F813" s="14"/>
    </row>
    <row r="814">
      <c r="A814" s="14"/>
      <c r="B814" s="20"/>
      <c r="C814" s="13"/>
      <c r="D814" s="20"/>
      <c r="E814" s="14"/>
      <c r="F814" s="14"/>
    </row>
    <row r="815">
      <c r="A815" s="14"/>
      <c r="B815" s="20"/>
      <c r="C815" s="13"/>
      <c r="D815" s="20"/>
      <c r="E815" s="14"/>
      <c r="F815" s="14"/>
    </row>
    <row r="816">
      <c r="A816" s="14"/>
      <c r="B816" s="20"/>
      <c r="C816" s="13"/>
      <c r="D816" s="20"/>
      <c r="E816" s="14"/>
      <c r="F816" s="14"/>
    </row>
    <row r="817">
      <c r="A817" s="14"/>
      <c r="B817" s="20"/>
      <c r="C817" s="13"/>
      <c r="D817" s="20"/>
      <c r="E817" s="14"/>
      <c r="F817" s="14"/>
    </row>
    <row r="818">
      <c r="A818" s="14"/>
      <c r="B818" s="20"/>
      <c r="C818" s="13"/>
      <c r="D818" s="20"/>
      <c r="E818" s="14"/>
      <c r="F818" s="14"/>
    </row>
    <row r="819">
      <c r="A819" s="14"/>
      <c r="B819" s="20"/>
      <c r="C819" s="13"/>
      <c r="D819" s="20"/>
      <c r="E819" s="14"/>
      <c r="F819" s="14"/>
    </row>
    <row r="820">
      <c r="A820" s="14"/>
      <c r="B820" s="20"/>
      <c r="C820" s="13"/>
      <c r="D820" s="20"/>
      <c r="E820" s="14"/>
      <c r="F820" s="14"/>
    </row>
    <row r="821">
      <c r="A821" s="14"/>
      <c r="B821" s="20"/>
      <c r="C821" s="13"/>
      <c r="D821" s="20"/>
      <c r="E821" s="14"/>
      <c r="F821" s="14"/>
    </row>
    <row r="822">
      <c r="A822" s="14"/>
      <c r="B822" s="20"/>
      <c r="C822" s="13"/>
      <c r="D822" s="20"/>
      <c r="E822" s="14"/>
      <c r="F822" s="14"/>
    </row>
    <row r="823">
      <c r="A823" s="14"/>
      <c r="B823" s="20"/>
      <c r="C823" s="13"/>
      <c r="D823" s="20"/>
      <c r="E823" s="14"/>
      <c r="F823" s="14"/>
    </row>
    <row r="824">
      <c r="A824" s="14"/>
      <c r="B824" s="20"/>
      <c r="C824" s="13"/>
      <c r="D824" s="20"/>
      <c r="E824" s="14"/>
      <c r="F824" s="14"/>
    </row>
    <row r="825">
      <c r="A825" s="14"/>
      <c r="B825" s="20"/>
      <c r="C825" s="13"/>
      <c r="D825" s="20"/>
      <c r="E825" s="14"/>
      <c r="F825" s="14"/>
    </row>
    <row r="826">
      <c r="A826" s="14"/>
      <c r="B826" s="20"/>
      <c r="C826" s="13"/>
      <c r="D826" s="20"/>
      <c r="E826" s="14"/>
      <c r="F826" s="14"/>
    </row>
    <row r="827">
      <c r="A827" s="14"/>
      <c r="B827" s="20"/>
      <c r="C827" s="13"/>
      <c r="D827" s="20"/>
      <c r="E827" s="14"/>
      <c r="F827" s="14"/>
    </row>
    <row r="828">
      <c r="A828" s="14"/>
      <c r="B828" s="20"/>
      <c r="C828" s="13"/>
      <c r="D828" s="20"/>
      <c r="E828" s="14"/>
      <c r="F828" s="14"/>
    </row>
    <row r="829">
      <c r="A829" s="14"/>
      <c r="B829" s="20"/>
      <c r="C829" s="13"/>
      <c r="D829" s="20"/>
      <c r="E829" s="14"/>
      <c r="F829" s="14"/>
    </row>
    <row r="830">
      <c r="A830" s="14"/>
      <c r="B830" s="20"/>
      <c r="C830" s="13"/>
      <c r="D830" s="20"/>
      <c r="E830" s="14"/>
      <c r="F830" s="14"/>
    </row>
    <row r="831">
      <c r="A831" s="14"/>
      <c r="B831" s="20"/>
      <c r="C831" s="13"/>
      <c r="D831" s="20"/>
      <c r="E831" s="14"/>
      <c r="F831" s="14"/>
    </row>
    <row r="832">
      <c r="A832" s="14"/>
      <c r="B832" s="20"/>
      <c r="C832" s="13"/>
      <c r="D832" s="20"/>
      <c r="E832" s="14"/>
      <c r="F832" s="14"/>
    </row>
    <row r="833">
      <c r="A833" s="14"/>
      <c r="B833" s="20"/>
      <c r="C833" s="13"/>
      <c r="D833" s="20"/>
      <c r="E833" s="14"/>
      <c r="F833" s="14"/>
    </row>
    <row r="834">
      <c r="A834" s="14"/>
      <c r="B834" s="20"/>
      <c r="C834" s="13"/>
      <c r="D834" s="20"/>
      <c r="E834" s="14"/>
      <c r="F834" s="14"/>
    </row>
    <row r="835">
      <c r="A835" s="14"/>
      <c r="B835" s="20"/>
      <c r="C835" s="13"/>
      <c r="D835" s="20"/>
      <c r="E835" s="14"/>
      <c r="F835" s="14"/>
    </row>
    <row r="836">
      <c r="A836" s="14"/>
      <c r="B836" s="20"/>
      <c r="C836" s="13"/>
      <c r="D836" s="20"/>
      <c r="E836" s="14"/>
      <c r="F836" s="14"/>
    </row>
    <row r="837">
      <c r="A837" s="14"/>
      <c r="B837" s="20"/>
      <c r="C837" s="13"/>
      <c r="D837" s="20"/>
      <c r="E837" s="14"/>
      <c r="F837" s="14"/>
    </row>
    <row r="838">
      <c r="A838" s="14"/>
      <c r="B838" s="20"/>
      <c r="C838" s="13"/>
      <c r="D838" s="20"/>
      <c r="E838" s="14"/>
      <c r="F838" s="14"/>
    </row>
    <row r="839">
      <c r="A839" s="14"/>
      <c r="B839" s="20"/>
      <c r="C839" s="13"/>
      <c r="D839" s="20"/>
      <c r="E839" s="14"/>
      <c r="F839" s="14"/>
    </row>
    <row r="840">
      <c r="A840" s="14"/>
      <c r="B840" s="20"/>
      <c r="C840" s="13"/>
      <c r="D840" s="20"/>
      <c r="E840" s="14"/>
      <c r="F840" s="14"/>
    </row>
    <row r="841">
      <c r="A841" s="14"/>
      <c r="B841" s="20"/>
      <c r="C841" s="13"/>
      <c r="D841" s="20"/>
      <c r="E841" s="14"/>
      <c r="F841" s="14"/>
    </row>
    <row r="842">
      <c r="A842" s="14"/>
      <c r="B842" s="20"/>
      <c r="C842" s="13"/>
      <c r="D842" s="20"/>
      <c r="E842" s="14"/>
      <c r="F842" s="14"/>
    </row>
    <row r="843">
      <c r="A843" s="14"/>
      <c r="B843" s="20"/>
      <c r="C843" s="13"/>
      <c r="D843" s="20"/>
      <c r="E843" s="14"/>
      <c r="F843" s="14"/>
    </row>
    <row r="844">
      <c r="A844" s="14"/>
      <c r="B844" s="20"/>
      <c r="C844" s="13"/>
      <c r="D844" s="20"/>
      <c r="E844" s="14"/>
      <c r="F844" s="14"/>
    </row>
    <row r="845">
      <c r="A845" s="14"/>
      <c r="B845" s="20"/>
      <c r="C845" s="13"/>
      <c r="D845" s="20"/>
      <c r="E845" s="14"/>
      <c r="F845" s="14"/>
    </row>
    <row r="846">
      <c r="A846" s="14"/>
      <c r="B846" s="20"/>
      <c r="C846" s="13"/>
      <c r="D846" s="20"/>
      <c r="E846" s="14"/>
      <c r="F846" s="14"/>
    </row>
    <row r="847">
      <c r="A847" s="14"/>
      <c r="B847" s="20"/>
      <c r="C847" s="13"/>
      <c r="D847" s="20"/>
      <c r="E847" s="14"/>
      <c r="F847" s="14"/>
    </row>
    <row r="848">
      <c r="A848" s="14"/>
      <c r="B848" s="20"/>
      <c r="C848" s="13"/>
      <c r="D848" s="20"/>
      <c r="E848" s="14"/>
      <c r="F848" s="14"/>
    </row>
    <row r="849">
      <c r="A849" s="14"/>
      <c r="B849" s="20"/>
      <c r="C849" s="13"/>
      <c r="D849" s="20"/>
      <c r="E849" s="14"/>
      <c r="F849" s="14"/>
    </row>
    <row r="850">
      <c r="A850" s="14"/>
      <c r="B850" s="20"/>
      <c r="C850" s="13"/>
      <c r="D850" s="20"/>
      <c r="E850" s="14"/>
      <c r="F850" s="14"/>
    </row>
    <row r="851">
      <c r="A851" s="14"/>
      <c r="B851" s="20"/>
      <c r="C851" s="13"/>
      <c r="D851" s="20"/>
      <c r="E851" s="14"/>
      <c r="F851" s="14"/>
    </row>
    <row r="852">
      <c r="A852" s="14"/>
      <c r="B852" s="20"/>
      <c r="C852" s="13"/>
      <c r="D852" s="20"/>
      <c r="E852" s="14"/>
      <c r="F852" s="14"/>
    </row>
    <row r="853">
      <c r="A853" s="14"/>
      <c r="B853" s="20"/>
      <c r="C853" s="13"/>
      <c r="D853" s="20"/>
      <c r="E853" s="14"/>
      <c r="F853" s="14"/>
    </row>
    <row r="854">
      <c r="A854" s="14"/>
      <c r="B854" s="20"/>
      <c r="C854" s="13"/>
      <c r="D854" s="20"/>
      <c r="E854" s="14"/>
      <c r="F854" s="14"/>
    </row>
    <row r="855">
      <c r="A855" s="14"/>
      <c r="B855" s="20"/>
      <c r="C855" s="13"/>
      <c r="D855" s="20"/>
      <c r="E855" s="14"/>
      <c r="F855" s="14"/>
    </row>
    <row r="856">
      <c r="A856" s="14"/>
      <c r="B856" s="20"/>
      <c r="C856" s="13"/>
      <c r="D856" s="20"/>
      <c r="E856" s="14"/>
      <c r="F856" s="14"/>
    </row>
    <row r="857">
      <c r="A857" s="14"/>
      <c r="B857" s="20"/>
      <c r="C857" s="13"/>
      <c r="D857" s="20"/>
      <c r="E857" s="14"/>
      <c r="F857" s="14"/>
    </row>
    <row r="858">
      <c r="A858" s="14"/>
      <c r="B858" s="20"/>
      <c r="C858" s="13"/>
      <c r="D858" s="20"/>
      <c r="E858" s="14"/>
      <c r="F858" s="14"/>
    </row>
    <row r="859">
      <c r="A859" s="14"/>
      <c r="B859" s="20"/>
      <c r="C859" s="13"/>
      <c r="D859" s="20"/>
      <c r="E859" s="14"/>
      <c r="F859" s="14"/>
    </row>
    <row r="860">
      <c r="A860" s="14"/>
      <c r="B860" s="20"/>
      <c r="C860" s="13"/>
      <c r="D860" s="20"/>
      <c r="E860" s="14"/>
      <c r="F860" s="14"/>
    </row>
    <row r="861">
      <c r="A861" s="14"/>
      <c r="B861" s="20"/>
      <c r="C861" s="13"/>
      <c r="D861" s="20"/>
      <c r="E861" s="14"/>
      <c r="F861" s="14"/>
    </row>
    <row r="862">
      <c r="A862" s="14"/>
      <c r="B862" s="20"/>
      <c r="C862" s="13"/>
      <c r="D862" s="20"/>
      <c r="E862" s="14"/>
      <c r="F862" s="14"/>
    </row>
    <row r="863">
      <c r="A863" s="14"/>
      <c r="B863" s="20"/>
      <c r="C863" s="13"/>
      <c r="D863" s="20"/>
      <c r="E863" s="14"/>
      <c r="F863" s="14"/>
    </row>
    <row r="864">
      <c r="A864" s="14"/>
      <c r="B864" s="20"/>
      <c r="C864" s="13"/>
      <c r="D864" s="20"/>
      <c r="E864" s="14"/>
      <c r="F864" s="14"/>
    </row>
    <row r="865">
      <c r="A865" s="14"/>
      <c r="B865" s="20"/>
      <c r="C865" s="13"/>
      <c r="D865" s="20"/>
      <c r="E865" s="14"/>
      <c r="F865" s="14"/>
    </row>
    <row r="866">
      <c r="A866" s="14"/>
      <c r="B866" s="20"/>
      <c r="C866" s="13"/>
      <c r="D866" s="20"/>
      <c r="E866" s="14"/>
      <c r="F866" s="14"/>
    </row>
    <row r="867">
      <c r="A867" s="14"/>
      <c r="B867" s="20"/>
      <c r="C867" s="13"/>
      <c r="D867" s="20"/>
      <c r="E867" s="14"/>
      <c r="F867" s="14"/>
    </row>
    <row r="868">
      <c r="A868" s="14"/>
      <c r="B868" s="20"/>
      <c r="C868" s="13"/>
      <c r="D868" s="20"/>
      <c r="E868" s="14"/>
      <c r="F868" s="14"/>
    </row>
    <row r="869">
      <c r="A869" s="14"/>
      <c r="B869" s="20"/>
      <c r="C869" s="13"/>
      <c r="D869" s="20"/>
      <c r="E869" s="14"/>
      <c r="F869" s="14"/>
    </row>
    <row r="870">
      <c r="A870" s="14"/>
      <c r="B870" s="20"/>
      <c r="C870" s="13"/>
      <c r="D870" s="20"/>
      <c r="E870" s="14"/>
      <c r="F870" s="14"/>
    </row>
    <row r="871">
      <c r="A871" s="14"/>
      <c r="B871" s="20"/>
      <c r="C871" s="13"/>
      <c r="D871" s="20"/>
      <c r="E871" s="14"/>
      <c r="F871" s="14"/>
    </row>
    <row r="872">
      <c r="A872" s="14"/>
      <c r="B872" s="20"/>
      <c r="C872" s="13"/>
      <c r="D872" s="20"/>
      <c r="E872" s="14"/>
      <c r="F872" s="14"/>
    </row>
    <row r="873">
      <c r="A873" s="14"/>
      <c r="B873" s="20"/>
      <c r="C873" s="13"/>
      <c r="D873" s="20"/>
      <c r="E873" s="14"/>
      <c r="F873" s="14"/>
    </row>
    <row r="874">
      <c r="A874" s="14"/>
      <c r="B874" s="20"/>
      <c r="C874" s="13"/>
      <c r="D874" s="20"/>
      <c r="E874" s="14"/>
      <c r="F874" s="14"/>
    </row>
    <row r="875">
      <c r="A875" s="14"/>
      <c r="B875" s="20"/>
      <c r="C875" s="13"/>
      <c r="D875" s="20"/>
      <c r="E875" s="14"/>
      <c r="F875" s="14"/>
    </row>
    <row r="876">
      <c r="A876" s="14"/>
      <c r="B876" s="20"/>
      <c r="C876" s="13"/>
      <c r="D876" s="20"/>
      <c r="E876" s="14"/>
      <c r="F876" s="14"/>
    </row>
    <row r="877">
      <c r="A877" s="14"/>
      <c r="B877" s="20"/>
      <c r="C877" s="13"/>
      <c r="D877" s="20"/>
      <c r="E877" s="14"/>
      <c r="F877" s="14"/>
    </row>
    <row r="878">
      <c r="A878" s="14"/>
      <c r="B878" s="20"/>
      <c r="C878" s="13"/>
      <c r="D878" s="20"/>
      <c r="E878" s="14"/>
      <c r="F878" s="14"/>
    </row>
    <row r="879">
      <c r="A879" s="14"/>
      <c r="B879" s="20"/>
      <c r="C879" s="13"/>
      <c r="D879" s="20"/>
      <c r="E879" s="14"/>
      <c r="F879" s="14"/>
    </row>
    <row r="880">
      <c r="A880" s="14"/>
      <c r="B880" s="20"/>
      <c r="C880" s="13"/>
      <c r="D880" s="20"/>
      <c r="E880" s="14"/>
      <c r="F880" s="14"/>
    </row>
    <row r="881">
      <c r="A881" s="14"/>
      <c r="B881" s="20"/>
      <c r="C881" s="13"/>
      <c r="D881" s="20"/>
      <c r="E881" s="14"/>
      <c r="F881" s="14"/>
    </row>
    <row r="882">
      <c r="A882" s="14"/>
      <c r="B882" s="20"/>
      <c r="C882" s="13"/>
      <c r="D882" s="20"/>
      <c r="E882" s="14"/>
      <c r="F882" s="14"/>
    </row>
    <row r="883">
      <c r="A883" s="14"/>
      <c r="B883" s="20"/>
      <c r="C883" s="13"/>
      <c r="D883" s="20"/>
      <c r="E883" s="14"/>
      <c r="F883" s="14"/>
    </row>
    <row r="884">
      <c r="A884" s="14"/>
      <c r="B884" s="20"/>
      <c r="C884" s="13"/>
      <c r="D884" s="20"/>
      <c r="E884" s="14"/>
      <c r="F884" s="14"/>
    </row>
    <row r="885">
      <c r="A885" s="14"/>
      <c r="B885" s="20"/>
      <c r="C885" s="13"/>
      <c r="D885" s="20"/>
      <c r="E885" s="14"/>
      <c r="F885" s="14"/>
    </row>
    <row r="886">
      <c r="A886" s="14"/>
      <c r="B886" s="20"/>
      <c r="C886" s="13"/>
      <c r="D886" s="20"/>
      <c r="E886" s="14"/>
      <c r="F886" s="14"/>
    </row>
    <row r="887">
      <c r="A887" s="14"/>
      <c r="B887" s="20"/>
      <c r="C887" s="13"/>
      <c r="D887" s="20"/>
      <c r="E887" s="14"/>
      <c r="F887" s="14"/>
    </row>
    <row r="888">
      <c r="A888" s="14"/>
      <c r="B888" s="20"/>
      <c r="C888" s="13"/>
      <c r="D888" s="20"/>
      <c r="E888" s="14"/>
      <c r="F888" s="14"/>
    </row>
    <row r="889">
      <c r="A889" s="14"/>
      <c r="B889" s="20"/>
      <c r="C889" s="13"/>
      <c r="D889" s="20"/>
      <c r="E889" s="14"/>
      <c r="F889" s="14"/>
    </row>
    <row r="890">
      <c r="A890" s="14"/>
      <c r="B890" s="20"/>
      <c r="C890" s="13"/>
      <c r="D890" s="20"/>
      <c r="E890" s="14"/>
      <c r="F890" s="14"/>
    </row>
    <row r="891">
      <c r="A891" s="14"/>
      <c r="B891" s="20"/>
      <c r="C891" s="13"/>
      <c r="D891" s="20"/>
      <c r="E891" s="14"/>
      <c r="F891" s="14"/>
    </row>
    <row r="892">
      <c r="A892" s="14"/>
      <c r="B892" s="20"/>
      <c r="C892" s="13"/>
      <c r="D892" s="20"/>
      <c r="E892" s="14"/>
      <c r="F892" s="14"/>
    </row>
    <row r="893">
      <c r="A893" s="14"/>
      <c r="B893" s="20"/>
      <c r="C893" s="13"/>
      <c r="D893" s="20"/>
      <c r="E893" s="14"/>
      <c r="F893" s="14"/>
    </row>
    <row r="894">
      <c r="A894" s="14"/>
      <c r="B894" s="20"/>
      <c r="C894" s="13"/>
      <c r="D894" s="20"/>
      <c r="E894" s="14"/>
      <c r="F894" s="14"/>
    </row>
    <row r="895">
      <c r="A895" s="14"/>
      <c r="B895" s="20"/>
      <c r="C895" s="13"/>
      <c r="D895" s="20"/>
      <c r="E895" s="14"/>
      <c r="F895" s="14"/>
    </row>
    <row r="896">
      <c r="A896" s="14"/>
      <c r="B896" s="20"/>
      <c r="C896" s="13"/>
      <c r="D896" s="20"/>
      <c r="E896" s="14"/>
      <c r="F896" s="14"/>
    </row>
    <row r="897">
      <c r="A897" s="14"/>
      <c r="B897" s="20"/>
      <c r="C897" s="13"/>
      <c r="D897" s="20"/>
      <c r="E897" s="14"/>
      <c r="F897" s="14"/>
    </row>
    <row r="898">
      <c r="A898" s="14"/>
      <c r="B898" s="20"/>
      <c r="C898" s="13"/>
      <c r="D898" s="20"/>
      <c r="E898" s="14"/>
      <c r="F898" s="14"/>
    </row>
    <row r="899">
      <c r="A899" s="14"/>
      <c r="B899" s="20"/>
      <c r="C899" s="13"/>
      <c r="D899" s="20"/>
      <c r="E899" s="14"/>
      <c r="F899" s="14"/>
    </row>
    <row r="900">
      <c r="A900" s="14"/>
      <c r="B900" s="20"/>
      <c r="C900" s="13"/>
      <c r="D900" s="20"/>
      <c r="E900" s="14"/>
      <c r="F900" s="14"/>
    </row>
    <row r="901">
      <c r="A901" s="14"/>
      <c r="B901" s="20"/>
      <c r="C901" s="13"/>
      <c r="D901" s="20"/>
      <c r="E901" s="14"/>
      <c r="F901" s="14"/>
    </row>
    <row r="902">
      <c r="A902" s="14"/>
      <c r="B902" s="20"/>
      <c r="C902" s="13"/>
      <c r="D902" s="20"/>
      <c r="E902" s="14"/>
      <c r="F902" s="14"/>
    </row>
    <row r="903">
      <c r="A903" s="14"/>
      <c r="B903" s="20"/>
      <c r="C903" s="13"/>
      <c r="D903" s="20"/>
      <c r="E903" s="14"/>
      <c r="F903" s="14"/>
    </row>
    <row r="904">
      <c r="A904" s="14"/>
      <c r="B904" s="20"/>
      <c r="C904" s="13"/>
      <c r="D904" s="20"/>
      <c r="E904" s="14"/>
      <c r="F904" s="14"/>
    </row>
    <row r="905">
      <c r="A905" s="14"/>
      <c r="B905" s="20"/>
      <c r="C905" s="13"/>
      <c r="D905" s="20"/>
      <c r="E905" s="14"/>
      <c r="F905" s="14"/>
    </row>
    <row r="906">
      <c r="A906" s="14"/>
      <c r="B906" s="20"/>
      <c r="C906" s="13"/>
      <c r="D906" s="20"/>
      <c r="E906" s="14"/>
      <c r="F906" s="14"/>
    </row>
    <row r="907">
      <c r="A907" s="14"/>
      <c r="B907" s="20"/>
      <c r="C907" s="13"/>
      <c r="D907" s="20"/>
      <c r="E907" s="14"/>
      <c r="F907" s="14"/>
    </row>
    <row r="908">
      <c r="A908" s="14"/>
      <c r="B908" s="20"/>
      <c r="C908" s="13"/>
      <c r="D908" s="20"/>
      <c r="E908" s="14"/>
      <c r="F908" s="14"/>
    </row>
    <row r="909">
      <c r="A909" s="14"/>
      <c r="B909" s="20"/>
      <c r="C909" s="13"/>
      <c r="D909" s="20"/>
      <c r="E909" s="14"/>
      <c r="F909" s="14"/>
    </row>
    <row r="910">
      <c r="A910" s="14"/>
      <c r="B910" s="20"/>
      <c r="C910" s="13"/>
      <c r="D910" s="20"/>
      <c r="E910" s="14"/>
      <c r="F910" s="14"/>
    </row>
    <row r="911">
      <c r="A911" s="14"/>
      <c r="B911" s="20"/>
      <c r="C911" s="13"/>
      <c r="D911" s="20"/>
      <c r="E911" s="14"/>
      <c r="F911" s="14"/>
    </row>
    <row r="912">
      <c r="A912" s="14"/>
      <c r="B912" s="20"/>
      <c r="C912" s="13"/>
      <c r="D912" s="20"/>
      <c r="E912" s="14"/>
      <c r="F912" s="14"/>
    </row>
    <row r="913">
      <c r="A913" s="14"/>
      <c r="B913" s="20"/>
      <c r="C913" s="13"/>
      <c r="D913" s="20"/>
      <c r="E913" s="14"/>
      <c r="F913" s="14"/>
    </row>
    <row r="914">
      <c r="A914" s="14"/>
      <c r="B914" s="20"/>
      <c r="C914" s="13"/>
      <c r="D914" s="20"/>
      <c r="E914" s="14"/>
      <c r="F914" s="14"/>
    </row>
    <row r="915">
      <c r="A915" s="14"/>
      <c r="B915" s="20"/>
      <c r="C915" s="13"/>
      <c r="D915" s="20"/>
      <c r="E915" s="14"/>
      <c r="F915" s="14"/>
    </row>
    <row r="916">
      <c r="A916" s="14"/>
      <c r="B916" s="20"/>
      <c r="C916" s="13"/>
      <c r="D916" s="20"/>
      <c r="E916" s="14"/>
      <c r="F916" s="14"/>
    </row>
    <row r="917">
      <c r="A917" s="14"/>
      <c r="B917" s="20"/>
      <c r="C917" s="13"/>
      <c r="D917" s="20"/>
      <c r="E917" s="14"/>
      <c r="F917" s="14"/>
    </row>
    <row r="918">
      <c r="A918" s="14"/>
      <c r="B918" s="20"/>
      <c r="C918" s="13"/>
      <c r="D918" s="20"/>
      <c r="E918" s="14"/>
      <c r="F918" s="14"/>
    </row>
    <row r="919">
      <c r="A919" s="14"/>
      <c r="B919" s="20"/>
      <c r="C919" s="13"/>
      <c r="D919" s="20"/>
      <c r="E919" s="14"/>
      <c r="F919" s="14"/>
    </row>
    <row r="920">
      <c r="A920" s="14"/>
      <c r="B920" s="20"/>
      <c r="C920" s="13"/>
      <c r="D920" s="20"/>
      <c r="E920" s="14"/>
      <c r="F920" s="14"/>
    </row>
    <row r="921">
      <c r="A921" s="14"/>
      <c r="B921" s="20"/>
      <c r="C921" s="13"/>
      <c r="D921" s="20"/>
      <c r="E921" s="14"/>
      <c r="F921" s="14"/>
    </row>
    <row r="922">
      <c r="A922" s="14"/>
      <c r="B922" s="20"/>
      <c r="C922" s="13"/>
      <c r="D922" s="20"/>
      <c r="E922" s="14"/>
      <c r="F922" s="14"/>
    </row>
    <row r="923">
      <c r="A923" s="14"/>
      <c r="B923" s="20"/>
      <c r="C923" s="13"/>
      <c r="D923" s="20"/>
      <c r="E923" s="14"/>
      <c r="F923" s="14"/>
    </row>
    <row r="924">
      <c r="A924" s="14"/>
      <c r="B924" s="20"/>
      <c r="C924" s="13"/>
      <c r="D924" s="20"/>
      <c r="E924" s="14"/>
      <c r="F924" s="14"/>
    </row>
    <row r="925">
      <c r="A925" s="14"/>
      <c r="B925" s="20"/>
      <c r="C925" s="13"/>
      <c r="D925" s="20"/>
      <c r="E925" s="14"/>
      <c r="F925" s="14"/>
    </row>
    <row r="926">
      <c r="A926" s="14"/>
      <c r="B926" s="20"/>
      <c r="C926" s="13"/>
      <c r="D926" s="20"/>
      <c r="E926" s="14"/>
      <c r="F926" s="14"/>
    </row>
    <row r="927">
      <c r="A927" s="14"/>
      <c r="B927" s="20"/>
      <c r="C927" s="13"/>
      <c r="D927" s="20"/>
      <c r="E927" s="14"/>
      <c r="F927" s="14"/>
    </row>
    <row r="928">
      <c r="A928" s="14"/>
      <c r="B928" s="20"/>
      <c r="C928" s="13"/>
      <c r="D928" s="20"/>
      <c r="E928" s="14"/>
      <c r="F928" s="14"/>
    </row>
    <row r="929">
      <c r="A929" s="14"/>
      <c r="B929" s="20"/>
      <c r="C929" s="13"/>
      <c r="D929" s="20"/>
      <c r="E929" s="14"/>
      <c r="F929" s="14"/>
    </row>
    <row r="930">
      <c r="A930" s="14"/>
      <c r="B930" s="20"/>
      <c r="C930" s="13"/>
      <c r="D930" s="20"/>
      <c r="E930" s="14"/>
      <c r="F930" s="14"/>
    </row>
    <row r="931">
      <c r="A931" s="14"/>
      <c r="B931" s="20"/>
      <c r="C931" s="13"/>
      <c r="D931" s="20"/>
      <c r="E931" s="14"/>
      <c r="F931" s="14"/>
    </row>
    <row r="932">
      <c r="A932" s="14"/>
      <c r="B932" s="20"/>
      <c r="C932" s="13"/>
      <c r="D932" s="20"/>
      <c r="E932" s="14"/>
      <c r="F932" s="14"/>
    </row>
    <row r="933">
      <c r="A933" s="14"/>
      <c r="B933" s="20"/>
      <c r="C933" s="13"/>
      <c r="D933" s="20"/>
      <c r="E933" s="14"/>
      <c r="F933" s="14"/>
    </row>
    <row r="934">
      <c r="A934" s="14"/>
      <c r="B934" s="20"/>
      <c r="C934" s="13"/>
      <c r="D934" s="20"/>
      <c r="E934" s="14"/>
      <c r="F934" s="14"/>
    </row>
    <row r="935">
      <c r="A935" s="14"/>
      <c r="B935" s="20"/>
      <c r="C935" s="13"/>
      <c r="D935" s="20"/>
      <c r="E935" s="14"/>
      <c r="F935" s="14"/>
    </row>
    <row r="936">
      <c r="A936" s="14"/>
      <c r="B936" s="20"/>
      <c r="C936" s="13"/>
      <c r="D936" s="20"/>
      <c r="E936" s="14"/>
      <c r="F936" s="14"/>
    </row>
    <row r="937">
      <c r="A937" s="14"/>
      <c r="B937" s="20"/>
      <c r="C937" s="13"/>
      <c r="D937" s="20"/>
      <c r="E937" s="14"/>
      <c r="F937" s="14"/>
    </row>
    <row r="938">
      <c r="A938" s="14"/>
      <c r="B938" s="20"/>
      <c r="C938" s="13"/>
      <c r="D938" s="20"/>
      <c r="E938" s="14"/>
      <c r="F938" s="14"/>
    </row>
    <row r="939">
      <c r="A939" s="14"/>
      <c r="B939" s="20"/>
      <c r="C939" s="13"/>
      <c r="D939" s="20"/>
      <c r="E939" s="14"/>
      <c r="F939" s="14"/>
    </row>
    <row r="940">
      <c r="A940" s="14"/>
      <c r="B940" s="20"/>
      <c r="C940" s="13"/>
      <c r="D940" s="20"/>
      <c r="E940" s="14"/>
      <c r="F940" s="14"/>
    </row>
    <row r="941">
      <c r="A941" s="14"/>
      <c r="B941" s="20"/>
      <c r="C941" s="13"/>
      <c r="D941" s="20"/>
      <c r="E941" s="14"/>
      <c r="F941" s="14"/>
    </row>
    <row r="942">
      <c r="A942" s="14"/>
      <c r="B942" s="20"/>
      <c r="C942" s="13"/>
      <c r="D942" s="20"/>
      <c r="E942" s="14"/>
      <c r="F942" s="14"/>
    </row>
    <row r="943">
      <c r="A943" s="14"/>
      <c r="B943" s="20"/>
      <c r="C943" s="13"/>
      <c r="D943" s="20"/>
      <c r="E943" s="14"/>
      <c r="F943" s="14"/>
    </row>
    <row r="944">
      <c r="A944" s="14"/>
      <c r="B944" s="20"/>
      <c r="C944" s="13"/>
      <c r="D944" s="20"/>
      <c r="E944" s="14"/>
      <c r="F944" s="14"/>
    </row>
    <row r="945">
      <c r="A945" s="14"/>
      <c r="B945" s="20"/>
      <c r="C945" s="13"/>
      <c r="D945" s="20"/>
      <c r="E945" s="14"/>
      <c r="F945" s="14"/>
    </row>
    <row r="946">
      <c r="A946" s="14"/>
      <c r="B946" s="20"/>
      <c r="C946" s="13"/>
      <c r="D946" s="20"/>
      <c r="E946" s="14"/>
      <c r="F946" s="14"/>
    </row>
    <row r="947">
      <c r="A947" s="14"/>
      <c r="B947" s="20"/>
      <c r="C947" s="13"/>
      <c r="D947" s="20"/>
      <c r="E947" s="14"/>
      <c r="F947" s="14"/>
    </row>
    <row r="948">
      <c r="A948" s="14"/>
      <c r="B948" s="20"/>
      <c r="C948" s="13"/>
      <c r="D948" s="20"/>
      <c r="E948" s="14"/>
      <c r="F948" s="14"/>
    </row>
    <row r="949">
      <c r="A949" s="14"/>
      <c r="B949" s="20"/>
      <c r="C949" s="13"/>
      <c r="D949" s="20"/>
      <c r="E949" s="14"/>
      <c r="F949" s="14"/>
    </row>
    <row r="950">
      <c r="A950" s="14"/>
      <c r="B950" s="20"/>
      <c r="C950" s="13"/>
      <c r="D950" s="20"/>
      <c r="E950" s="14"/>
      <c r="F950" s="14"/>
    </row>
    <row r="951">
      <c r="A951" s="14"/>
      <c r="B951" s="20"/>
      <c r="C951" s="13"/>
      <c r="D951" s="20"/>
      <c r="E951" s="14"/>
      <c r="F951" s="14"/>
    </row>
    <row r="952">
      <c r="A952" s="14"/>
      <c r="B952" s="20"/>
      <c r="C952" s="13"/>
      <c r="D952" s="20"/>
      <c r="E952" s="14"/>
      <c r="F952" s="14"/>
    </row>
    <row r="953">
      <c r="A953" s="14"/>
      <c r="B953" s="20"/>
      <c r="C953" s="13"/>
      <c r="D953" s="20"/>
      <c r="E953" s="14"/>
      <c r="F953" s="14"/>
    </row>
    <row r="954">
      <c r="A954" s="14"/>
      <c r="B954" s="20"/>
      <c r="C954" s="13"/>
      <c r="D954" s="20"/>
      <c r="E954" s="14"/>
      <c r="F954" s="14"/>
    </row>
    <row r="955">
      <c r="A955" s="14"/>
      <c r="B955" s="20"/>
      <c r="C955" s="13"/>
      <c r="D955" s="20"/>
      <c r="E955" s="14"/>
      <c r="F955" s="14"/>
    </row>
    <row r="956">
      <c r="A956" s="14"/>
      <c r="B956" s="20"/>
      <c r="C956" s="13"/>
      <c r="D956" s="20"/>
      <c r="E956" s="14"/>
      <c r="F956" s="14"/>
    </row>
    <row r="957">
      <c r="A957" s="14"/>
      <c r="B957" s="20"/>
      <c r="C957" s="13"/>
      <c r="D957" s="20"/>
      <c r="E957" s="14"/>
      <c r="F957" s="14"/>
    </row>
    <row r="958">
      <c r="A958" s="14"/>
      <c r="B958" s="20"/>
      <c r="C958" s="13"/>
      <c r="D958" s="20"/>
      <c r="E958" s="14"/>
      <c r="F958" s="14"/>
    </row>
    <row r="959">
      <c r="A959" s="14"/>
      <c r="B959" s="20"/>
      <c r="C959" s="13"/>
      <c r="D959" s="20"/>
      <c r="E959" s="14"/>
      <c r="F959" s="14"/>
    </row>
    <row r="960">
      <c r="A960" s="14"/>
      <c r="B960" s="20"/>
      <c r="C960" s="13"/>
      <c r="D960" s="20"/>
      <c r="E960" s="14"/>
      <c r="F960" s="14"/>
    </row>
    <row r="961">
      <c r="A961" s="14"/>
      <c r="B961" s="20"/>
      <c r="C961" s="13"/>
      <c r="D961" s="20"/>
      <c r="E961" s="14"/>
      <c r="F961" s="14"/>
    </row>
    <row r="962">
      <c r="A962" s="14"/>
      <c r="B962" s="20"/>
      <c r="C962" s="13"/>
      <c r="D962" s="20"/>
      <c r="E962" s="14"/>
      <c r="F962" s="14"/>
    </row>
    <row r="963">
      <c r="A963" s="14"/>
      <c r="B963" s="20"/>
      <c r="C963" s="13"/>
      <c r="D963" s="20"/>
      <c r="E963" s="14"/>
      <c r="F963" s="14"/>
    </row>
    <row r="964">
      <c r="A964" s="14"/>
      <c r="B964" s="20"/>
      <c r="C964" s="13"/>
      <c r="D964" s="20"/>
      <c r="E964" s="14"/>
      <c r="F964" s="14"/>
    </row>
    <row r="965">
      <c r="A965" s="14"/>
      <c r="B965" s="20"/>
      <c r="C965" s="13"/>
      <c r="D965" s="20"/>
      <c r="E965" s="14"/>
      <c r="F965" s="14"/>
    </row>
    <row r="966">
      <c r="A966" s="14"/>
      <c r="B966" s="20"/>
      <c r="C966" s="13"/>
      <c r="D966" s="20"/>
      <c r="E966" s="14"/>
      <c r="F966" s="14"/>
    </row>
    <row r="967">
      <c r="A967" s="14"/>
      <c r="B967" s="20"/>
      <c r="C967" s="13"/>
      <c r="D967" s="20"/>
      <c r="E967" s="14"/>
      <c r="F967" s="14"/>
    </row>
    <row r="968">
      <c r="A968" s="14"/>
      <c r="B968" s="20"/>
      <c r="C968" s="13"/>
      <c r="D968" s="20"/>
      <c r="E968" s="14"/>
      <c r="F968" s="14"/>
    </row>
    <row r="969">
      <c r="A969" s="14"/>
      <c r="B969" s="20"/>
      <c r="C969" s="13"/>
      <c r="D969" s="20"/>
      <c r="E969" s="14"/>
      <c r="F969" s="14"/>
    </row>
    <row r="970">
      <c r="A970" s="14"/>
      <c r="B970" s="20"/>
      <c r="C970" s="13"/>
      <c r="D970" s="20"/>
      <c r="E970" s="14"/>
      <c r="F970" s="14"/>
    </row>
    <row r="971">
      <c r="A971" s="14"/>
      <c r="B971" s="20"/>
      <c r="C971" s="13"/>
      <c r="D971" s="20"/>
      <c r="E971" s="14"/>
      <c r="F971" s="14"/>
    </row>
    <row r="972">
      <c r="A972" s="14"/>
      <c r="B972" s="20"/>
      <c r="C972" s="13"/>
      <c r="D972" s="20"/>
      <c r="E972" s="14"/>
      <c r="F972" s="14"/>
    </row>
    <row r="973">
      <c r="A973" s="14"/>
      <c r="B973" s="20"/>
      <c r="C973" s="13"/>
      <c r="D973" s="20"/>
      <c r="E973" s="14"/>
      <c r="F973" s="14"/>
    </row>
    <row r="974">
      <c r="A974" s="14"/>
      <c r="B974" s="20"/>
      <c r="C974" s="13"/>
      <c r="D974" s="20"/>
      <c r="E974" s="14"/>
      <c r="F974" s="14"/>
    </row>
    <row r="975">
      <c r="A975" s="14"/>
      <c r="B975" s="20"/>
      <c r="C975" s="13"/>
      <c r="D975" s="20"/>
      <c r="E975" s="14"/>
      <c r="F975" s="14"/>
    </row>
    <row r="976">
      <c r="A976" s="14"/>
      <c r="B976" s="20"/>
      <c r="C976" s="13"/>
      <c r="D976" s="20"/>
      <c r="E976" s="14"/>
      <c r="F976" s="14"/>
    </row>
    <row r="977">
      <c r="A977" s="14"/>
      <c r="B977" s="20"/>
      <c r="C977" s="13"/>
      <c r="D977" s="20"/>
      <c r="E977" s="14"/>
      <c r="F977" s="14"/>
    </row>
    <row r="978">
      <c r="A978" s="14"/>
      <c r="B978" s="20"/>
      <c r="C978" s="13"/>
      <c r="D978" s="20"/>
      <c r="E978" s="14"/>
      <c r="F978" s="14"/>
    </row>
    <row r="979">
      <c r="A979" s="14"/>
      <c r="B979" s="20"/>
      <c r="C979" s="13"/>
      <c r="D979" s="20"/>
      <c r="E979" s="14"/>
      <c r="F979" s="14"/>
    </row>
    <row r="980">
      <c r="A980" s="14"/>
      <c r="B980" s="20"/>
      <c r="C980" s="13"/>
      <c r="D980" s="20"/>
      <c r="E980" s="14"/>
      <c r="F980" s="14"/>
    </row>
    <row r="981">
      <c r="A981" s="14"/>
      <c r="B981" s="20"/>
      <c r="C981" s="13"/>
      <c r="D981" s="20"/>
      <c r="E981" s="14"/>
      <c r="F981" s="14"/>
    </row>
    <row r="982">
      <c r="A982" s="14"/>
      <c r="B982" s="20"/>
      <c r="C982" s="13"/>
      <c r="D982" s="20"/>
      <c r="E982" s="14"/>
      <c r="F982" s="14"/>
    </row>
    <row r="983">
      <c r="A983" s="14"/>
      <c r="B983" s="20"/>
      <c r="C983" s="13"/>
      <c r="D983" s="20"/>
      <c r="E983" s="14"/>
      <c r="F983" s="14"/>
    </row>
    <row r="984">
      <c r="A984" s="14"/>
      <c r="B984" s="20"/>
      <c r="C984" s="13"/>
      <c r="D984" s="20"/>
      <c r="E984" s="14"/>
      <c r="F984" s="14"/>
    </row>
    <row r="985">
      <c r="A985" s="14"/>
      <c r="B985" s="20"/>
      <c r="C985" s="13"/>
      <c r="D985" s="20"/>
      <c r="E985" s="14"/>
      <c r="F985" s="14"/>
    </row>
    <row r="986">
      <c r="A986" s="14"/>
      <c r="B986" s="20"/>
      <c r="C986" s="13"/>
      <c r="D986" s="20"/>
      <c r="E986" s="14"/>
      <c r="F986" s="14"/>
    </row>
    <row r="987">
      <c r="A987" s="14"/>
      <c r="B987" s="20"/>
      <c r="C987" s="13"/>
      <c r="D987" s="20"/>
      <c r="E987" s="14"/>
      <c r="F987" s="14"/>
    </row>
    <row r="988">
      <c r="A988" s="14"/>
      <c r="B988" s="20"/>
      <c r="C988" s="13"/>
      <c r="D988" s="20"/>
      <c r="E988" s="14"/>
      <c r="F988" s="14"/>
    </row>
    <row r="989">
      <c r="A989" s="14"/>
      <c r="B989" s="20"/>
      <c r="C989" s="13"/>
      <c r="D989" s="20"/>
      <c r="E989" s="14"/>
      <c r="F989" s="14"/>
    </row>
    <row r="990">
      <c r="A990" s="14"/>
      <c r="B990" s="20"/>
      <c r="C990" s="13"/>
      <c r="D990" s="20"/>
      <c r="E990" s="14"/>
      <c r="F990" s="14"/>
    </row>
    <row r="991">
      <c r="A991" s="14"/>
      <c r="B991" s="20"/>
      <c r="C991" s="13"/>
      <c r="D991" s="20"/>
      <c r="E991" s="14"/>
      <c r="F991" s="14"/>
    </row>
    <row r="992">
      <c r="A992" s="14"/>
      <c r="B992" s="20"/>
      <c r="C992" s="13"/>
      <c r="D992" s="20"/>
      <c r="E992" s="14"/>
      <c r="F992" s="14"/>
    </row>
    <row r="993">
      <c r="A993" s="14"/>
      <c r="B993" s="20"/>
      <c r="C993" s="13"/>
      <c r="D993" s="20"/>
      <c r="E993" s="14"/>
      <c r="F993" s="14"/>
    </row>
    <row r="994">
      <c r="A994" s="14"/>
      <c r="B994" s="20"/>
      <c r="C994" s="13"/>
      <c r="D994" s="20"/>
      <c r="E994" s="14"/>
      <c r="F994" s="14"/>
    </row>
    <row r="995">
      <c r="A995" s="14"/>
      <c r="B995" s="20"/>
      <c r="C995" s="13"/>
      <c r="D995" s="20"/>
      <c r="E995" s="14"/>
      <c r="F995" s="14"/>
    </row>
    <row r="996">
      <c r="A996" s="14"/>
      <c r="B996" s="20"/>
      <c r="C996" s="13"/>
      <c r="D996" s="20"/>
      <c r="E996" s="14"/>
      <c r="F996" s="14"/>
    </row>
    <row r="997">
      <c r="A997" s="14"/>
      <c r="B997" s="20"/>
      <c r="C997" s="13"/>
      <c r="D997" s="20"/>
      <c r="E997" s="14"/>
      <c r="F997" s="14"/>
    </row>
    <row r="998">
      <c r="A998" s="14"/>
      <c r="B998" s="20"/>
      <c r="C998" s="13"/>
      <c r="D998" s="20"/>
      <c r="E998" s="14"/>
      <c r="F998" s="14"/>
    </row>
    <row r="999">
      <c r="A999" s="14"/>
      <c r="B999" s="20"/>
      <c r="C999" s="13"/>
      <c r="D999" s="20"/>
      <c r="E999" s="14"/>
      <c r="F999" s="14"/>
    </row>
    <row r="1000">
      <c r="A1000" s="14"/>
      <c r="B1000" s="20"/>
      <c r="C1000" s="13"/>
      <c r="D1000" s="20"/>
      <c r="E1000" s="14"/>
      <c r="F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3" width="18.0"/>
    <col customWidth="1" min="6" max="6" width="19.0"/>
    <col customWidth="1" min="8" max="8" width="18.0"/>
  </cols>
  <sheetData>
    <row r="1">
      <c r="A1" s="1" t="s">
        <v>248</v>
      </c>
      <c r="B1" s="1" t="s">
        <v>249</v>
      </c>
      <c r="I1" s="21"/>
      <c r="J1" s="21"/>
    </row>
    <row r="2">
      <c r="A2" s="1" t="s">
        <v>13</v>
      </c>
      <c r="B2" s="1">
        <v>62.3</v>
      </c>
      <c r="D2" s="22"/>
      <c r="J2" s="21"/>
      <c r="K2" s="22"/>
    </row>
    <row r="3">
      <c r="A3" s="1" t="s">
        <v>17</v>
      </c>
      <c r="B3" s="1">
        <v>53.9</v>
      </c>
      <c r="D3" s="22"/>
      <c r="J3" s="21"/>
      <c r="K3" s="22"/>
    </row>
    <row r="4">
      <c r="A4" s="1" t="s">
        <v>23</v>
      </c>
      <c r="B4" s="1">
        <v>50.7</v>
      </c>
      <c r="D4" s="22"/>
      <c r="J4" s="21"/>
      <c r="K4" s="22"/>
    </row>
    <row r="5">
      <c r="A5" s="1" t="s">
        <v>20</v>
      </c>
      <c r="B5" s="1">
        <v>44.9</v>
      </c>
      <c r="D5" s="22"/>
      <c r="J5" s="21"/>
      <c r="K5" s="22"/>
    </row>
    <row r="6">
      <c r="A6" s="1" t="s">
        <v>29</v>
      </c>
      <c r="B6" s="1">
        <v>44.8</v>
      </c>
      <c r="D6" s="22"/>
      <c r="J6" s="21"/>
      <c r="K6" s="22"/>
    </row>
    <row r="7">
      <c r="A7" s="1" t="s">
        <v>46</v>
      </c>
      <c r="B7" s="1">
        <v>44.1</v>
      </c>
      <c r="D7" s="22"/>
      <c r="J7" s="21"/>
      <c r="K7" s="22"/>
    </row>
    <row r="8">
      <c r="A8" s="1" t="s">
        <v>37</v>
      </c>
      <c r="B8" s="1">
        <v>42.9</v>
      </c>
      <c r="D8" s="22"/>
      <c r="J8" s="21"/>
      <c r="K8" s="22"/>
    </row>
    <row r="9">
      <c r="A9" s="1" t="s">
        <v>49</v>
      </c>
      <c r="B9" s="1">
        <v>40.8</v>
      </c>
      <c r="D9" s="22"/>
      <c r="J9" s="21"/>
      <c r="K9" s="22"/>
    </row>
    <row r="10">
      <c r="A10" s="1" t="s">
        <v>44</v>
      </c>
      <c r="B10" s="1">
        <v>39.1</v>
      </c>
      <c r="D10" s="22"/>
      <c r="J10" s="21"/>
      <c r="K10" s="22"/>
    </row>
    <row r="11">
      <c r="A11" s="1" t="s">
        <v>41</v>
      </c>
      <c r="B11" s="1">
        <v>38.2</v>
      </c>
      <c r="D11" s="22"/>
      <c r="J11" s="21"/>
      <c r="K11" s="22"/>
    </row>
    <row r="12">
      <c r="A12" s="1" t="s">
        <v>50</v>
      </c>
      <c r="B12" s="1">
        <v>38.1</v>
      </c>
      <c r="D12" s="22"/>
      <c r="J12" s="21"/>
      <c r="K12" s="22"/>
    </row>
    <row r="13">
      <c r="A13" s="1" t="s">
        <v>60</v>
      </c>
      <c r="B13" s="1">
        <v>37.9</v>
      </c>
      <c r="D13" s="22"/>
      <c r="J13" s="21"/>
      <c r="K13" s="22"/>
    </row>
    <row r="14">
      <c r="A14" s="1" t="s">
        <v>51</v>
      </c>
      <c r="B14" s="1">
        <v>37.1</v>
      </c>
      <c r="D14" s="22"/>
      <c r="J14" s="21"/>
      <c r="K14" s="22"/>
    </row>
    <row r="15">
      <c r="A15" s="1" t="s">
        <v>47</v>
      </c>
      <c r="B15" s="1">
        <v>37.1</v>
      </c>
      <c r="D15" s="22"/>
      <c r="J15" s="21"/>
      <c r="K15" s="22"/>
    </row>
    <row r="16">
      <c r="A16" s="1" t="s">
        <v>35</v>
      </c>
      <c r="B16" s="1">
        <v>36.8</v>
      </c>
      <c r="D16" s="22"/>
      <c r="J16" s="21"/>
      <c r="K16" s="22"/>
    </row>
    <row r="17">
      <c r="A17" s="1" t="s">
        <v>36</v>
      </c>
      <c r="B17" s="1">
        <v>36.6</v>
      </c>
      <c r="D17" s="22"/>
      <c r="J17" s="21"/>
      <c r="K17" s="22"/>
    </row>
    <row r="18">
      <c r="A18" s="1" t="s">
        <v>45</v>
      </c>
      <c r="B18" s="1">
        <v>36.5</v>
      </c>
      <c r="D18" s="22"/>
      <c r="J18" s="21"/>
      <c r="K18" s="22"/>
    </row>
    <row r="19">
      <c r="A19" s="1" t="s">
        <v>40</v>
      </c>
      <c r="B19" s="1">
        <v>35.3</v>
      </c>
      <c r="D19" s="22"/>
      <c r="J19" s="21"/>
      <c r="K19" s="22"/>
    </row>
    <row r="20">
      <c r="A20" s="1" t="s">
        <v>48</v>
      </c>
      <c r="B20" s="1">
        <v>35.3</v>
      </c>
      <c r="D20" s="22"/>
      <c r="J20" s="21"/>
      <c r="K20" s="22"/>
    </row>
    <row r="21">
      <c r="A21" s="1" t="s">
        <v>39</v>
      </c>
      <c r="B21" s="1">
        <v>35.0</v>
      </c>
      <c r="D21" s="22"/>
      <c r="J21" s="21"/>
      <c r="K21" s="22"/>
    </row>
    <row r="22">
      <c r="A22" s="1" t="s">
        <v>53</v>
      </c>
      <c r="B22" s="1">
        <v>34.3</v>
      </c>
      <c r="D22" s="22"/>
      <c r="J22" s="21"/>
      <c r="K22" s="22"/>
    </row>
    <row r="23">
      <c r="A23" s="1" t="s">
        <v>63</v>
      </c>
      <c r="B23" s="1">
        <v>34.2</v>
      </c>
      <c r="D23" s="22"/>
      <c r="J23" s="21"/>
      <c r="K23" s="22"/>
    </row>
    <row r="24">
      <c r="A24" s="1" t="s">
        <v>86</v>
      </c>
      <c r="B24" s="1">
        <v>34.1</v>
      </c>
      <c r="D24" s="22"/>
      <c r="J24" s="21"/>
      <c r="K24" s="22"/>
    </row>
    <row r="25">
      <c r="A25" s="1" t="s">
        <v>55</v>
      </c>
      <c r="B25" s="1">
        <v>33.9</v>
      </c>
      <c r="D25" s="22"/>
      <c r="J25" s="21"/>
      <c r="K25" s="22"/>
    </row>
    <row r="26">
      <c r="A26" s="1" t="s">
        <v>56</v>
      </c>
      <c r="B26" s="1">
        <v>32.6</v>
      </c>
      <c r="D26" s="22"/>
      <c r="J26" s="21"/>
      <c r="K26" s="22"/>
    </row>
    <row r="27">
      <c r="A27" s="1" t="s">
        <v>59</v>
      </c>
      <c r="B27" s="1">
        <v>32.4</v>
      </c>
      <c r="D27" s="22"/>
      <c r="J27" s="21"/>
      <c r="K27" s="22"/>
    </row>
    <row r="28">
      <c r="A28" s="1" t="s">
        <v>77</v>
      </c>
      <c r="B28" s="1">
        <v>31.3</v>
      </c>
      <c r="D28" s="22"/>
      <c r="J28" s="21"/>
      <c r="K28" s="22"/>
    </row>
    <row r="29">
      <c r="A29" s="1" t="s">
        <v>65</v>
      </c>
      <c r="B29" s="1">
        <v>31.2</v>
      </c>
      <c r="D29" s="22"/>
      <c r="J29" s="21"/>
      <c r="K29" s="22"/>
    </row>
    <row r="30">
      <c r="A30" s="1" t="s">
        <v>72</v>
      </c>
      <c r="B30" s="1">
        <v>31.1</v>
      </c>
      <c r="D30" s="22"/>
      <c r="J30" s="21"/>
      <c r="K30" s="22"/>
    </row>
    <row r="31">
      <c r="A31" s="1" t="s">
        <v>98</v>
      </c>
      <c r="B31" s="1">
        <v>31.1</v>
      </c>
      <c r="D31" s="22"/>
      <c r="J31" s="21"/>
      <c r="K31" s="22"/>
    </row>
    <row r="32">
      <c r="A32" s="1" t="s">
        <v>58</v>
      </c>
      <c r="B32" s="1">
        <v>30.9</v>
      </c>
      <c r="D32" s="22"/>
      <c r="J32" s="21"/>
      <c r="K32" s="22"/>
    </row>
    <row r="33">
      <c r="A33" s="1" t="s">
        <v>69</v>
      </c>
      <c r="B33" s="1">
        <v>30.8</v>
      </c>
      <c r="D33" s="22"/>
      <c r="J33" s="21"/>
      <c r="K33" s="22"/>
    </row>
    <row r="34">
      <c r="A34" s="1" t="s">
        <v>43</v>
      </c>
      <c r="B34" s="1">
        <v>30.7</v>
      </c>
      <c r="D34" s="22"/>
      <c r="J34" s="21"/>
      <c r="K34" s="22"/>
    </row>
    <row r="35">
      <c r="A35" s="1" t="s">
        <v>75</v>
      </c>
      <c r="B35" s="1">
        <v>29.7</v>
      </c>
      <c r="D35" s="22"/>
      <c r="J35" s="21"/>
      <c r="K35" s="22"/>
    </row>
    <row r="36">
      <c r="A36" s="1" t="s">
        <v>95</v>
      </c>
      <c r="B36" s="1">
        <v>29.1</v>
      </c>
      <c r="D36" s="22"/>
      <c r="J36" s="21"/>
      <c r="K36" s="22"/>
    </row>
    <row r="37">
      <c r="A37" s="1" t="s">
        <v>113</v>
      </c>
      <c r="B37" s="1">
        <v>28.8</v>
      </c>
      <c r="D37" s="22"/>
      <c r="J37" s="21"/>
      <c r="K37" s="22"/>
    </row>
    <row r="38">
      <c r="A38" s="1" t="s">
        <v>85</v>
      </c>
      <c r="B38" s="1">
        <v>28.8</v>
      </c>
      <c r="D38" s="22"/>
      <c r="J38" s="21"/>
      <c r="K38" s="22"/>
    </row>
    <row r="39">
      <c r="A39" s="1" t="s">
        <v>80</v>
      </c>
      <c r="B39" s="1">
        <v>28.4</v>
      </c>
      <c r="D39" s="22"/>
      <c r="J39" s="21"/>
      <c r="K39" s="22"/>
    </row>
    <row r="40">
      <c r="A40" s="1" t="s">
        <v>79</v>
      </c>
      <c r="B40" s="1">
        <v>27.6</v>
      </c>
      <c r="D40" s="22"/>
      <c r="J40" s="21"/>
      <c r="K40" s="22"/>
    </row>
    <row r="41">
      <c r="A41" s="1" t="s">
        <v>82</v>
      </c>
      <c r="B41" s="1">
        <v>27.3</v>
      </c>
      <c r="D41" s="22"/>
      <c r="J41" s="21"/>
      <c r="K41" s="22"/>
    </row>
    <row r="42">
      <c r="A42" s="1" t="s">
        <v>94</v>
      </c>
      <c r="B42" s="1">
        <v>27.2</v>
      </c>
      <c r="D42" s="22"/>
      <c r="J42" s="21"/>
      <c r="K42" s="22"/>
    </row>
    <row r="43">
      <c r="A43" s="1" t="s">
        <v>76</v>
      </c>
      <c r="B43" s="1">
        <v>26.8</v>
      </c>
      <c r="D43" s="22"/>
      <c r="J43" s="21"/>
      <c r="K43" s="22"/>
    </row>
    <row r="44">
      <c r="A44" s="1" t="s">
        <v>81</v>
      </c>
      <c r="B44" s="1">
        <v>26.5</v>
      </c>
      <c r="D44" s="22"/>
      <c r="J44" s="21"/>
      <c r="K44" s="22"/>
    </row>
    <row r="45">
      <c r="A45" s="1" t="s">
        <v>88</v>
      </c>
      <c r="B45" s="1">
        <v>26.4</v>
      </c>
      <c r="D45" s="22"/>
      <c r="J45" s="21"/>
      <c r="K45" s="22"/>
    </row>
    <row r="46">
      <c r="A46" s="1" t="s">
        <v>83</v>
      </c>
      <c r="B46" s="1">
        <v>25.4</v>
      </c>
      <c r="D46" s="22"/>
      <c r="J46" s="21"/>
      <c r="K46" s="22"/>
    </row>
    <row r="47">
      <c r="A47" s="1" t="s">
        <v>74</v>
      </c>
      <c r="B47" s="1">
        <v>24.6</v>
      </c>
      <c r="D47" s="22"/>
      <c r="J47" s="21"/>
      <c r="K47" s="22"/>
    </row>
    <row r="48">
      <c r="A48" s="1" t="s">
        <v>87</v>
      </c>
      <c r="B48" s="1">
        <v>24.5</v>
      </c>
      <c r="D48" s="22"/>
      <c r="J48" s="21"/>
      <c r="K48" s="22"/>
    </row>
    <row r="49">
      <c r="A49" s="1" t="s">
        <v>111</v>
      </c>
      <c r="B49" s="1">
        <v>24.4</v>
      </c>
      <c r="D49" s="22"/>
      <c r="J49" s="21"/>
      <c r="K49" s="22"/>
    </row>
    <row r="50">
      <c r="A50" s="1" t="s">
        <v>84</v>
      </c>
      <c r="B50" s="1">
        <v>24.3</v>
      </c>
      <c r="D50" s="22"/>
      <c r="J50" s="21"/>
      <c r="K50" s="22"/>
    </row>
    <row r="51">
      <c r="A51" s="1" t="s">
        <v>101</v>
      </c>
      <c r="B51" s="1">
        <v>24.0</v>
      </c>
      <c r="D51" s="22"/>
      <c r="J51" s="21"/>
      <c r="K51" s="22"/>
    </row>
    <row r="52">
      <c r="A52" s="1" t="s">
        <v>68</v>
      </c>
      <c r="B52" s="1">
        <v>24.0</v>
      </c>
      <c r="D52" s="22"/>
      <c r="J52" s="21"/>
      <c r="K52" s="22"/>
    </row>
    <row r="53">
      <c r="A53" s="1" t="s">
        <v>61</v>
      </c>
      <c r="B53" s="1">
        <v>23.5</v>
      </c>
      <c r="D53" s="22"/>
      <c r="J53" s="21"/>
      <c r="K53" s="22"/>
    </row>
    <row r="54">
      <c r="A54" s="1" t="s">
        <v>100</v>
      </c>
      <c r="B54" s="1">
        <v>23.0</v>
      </c>
      <c r="D54" s="22"/>
      <c r="J54" s="21"/>
      <c r="K54" s="22"/>
    </row>
    <row r="55">
      <c r="A55" s="1" t="s">
        <v>90</v>
      </c>
      <c r="B55" s="1">
        <v>22.7</v>
      </c>
      <c r="D55" s="22"/>
      <c r="J55" s="21"/>
      <c r="K55" s="22"/>
    </row>
    <row r="56">
      <c r="A56" s="1" t="s">
        <v>93</v>
      </c>
      <c r="B56" s="1">
        <v>22.4</v>
      </c>
      <c r="D56" s="22"/>
      <c r="J56" s="21"/>
      <c r="K56" s="22"/>
    </row>
    <row r="57">
      <c r="A57" s="1" t="s">
        <v>103</v>
      </c>
      <c r="B57" s="1">
        <v>22.1</v>
      </c>
      <c r="D57" s="22"/>
      <c r="J57" s="21"/>
      <c r="K57" s="22"/>
    </row>
    <row r="58">
      <c r="A58" s="1" t="s">
        <v>123</v>
      </c>
      <c r="B58" s="1">
        <v>21.9</v>
      </c>
      <c r="D58" s="22"/>
      <c r="J58" s="21"/>
      <c r="K58" s="22"/>
    </row>
    <row r="59">
      <c r="A59" s="1" t="s">
        <v>106</v>
      </c>
      <c r="B59" s="1">
        <v>21.8</v>
      </c>
      <c r="D59" s="22"/>
      <c r="J59" s="21"/>
      <c r="K59" s="22"/>
    </row>
    <row r="60">
      <c r="A60" s="1" t="s">
        <v>67</v>
      </c>
      <c r="B60" s="1">
        <v>21.0</v>
      </c>
      <c r="D60" s="22"/>
      <c r="J60" s="21"/>
      <c r="K60" s="22"/>
    </row>
    <row r="61">
      <c r="A61" s="1" t="s">
        <v>112</v>
      </c>
      <c r="B61" s="1">
        <v>20.9</v>
      </c>
      <c r="D61" s="22"/>
      <c r="J61" s="21"/>
      <c r="K61" s="22"/>
    </row>
    <row r="62">
      <c r="A62" s="1" t="s">
        <v>62</v>
      </c>
      <c r="B62" s="1">
        <v>20.6</v>
      </c>
      <c r="D62" s="22"/>
      <c r="J62" s="21"/>
      <c r="K62" s="22"/>
    </row>
    <row r="63">
      <c r="A63" s="1" t="s">
        <v>142</v>
      </c>
      <c r="B63" s="1">
        <v>20.6</v>
      </c>
      <c r="D63" s="22"/>
      <c r="J63" s="21"/>
      <c r="K63" s="22"/>
    </row>
    <row r="64">
      <c r="A64" s="1" t="s">
        <v>138</v>
      </c>
      <c r="B64" s="1">
        <v>20.4</v>
      </c>
      <c r="D64" s="22"/>
      <c r="J64" s="21"/>
      <c r="K64" s="22"/>
    </row>
    <row r="65">
      <c r="A65" s="1" t="s">
        <v>114</v>
      </c>
      <c r="B65" s="1">
        <v>20.4</v>
      </c>
      <c r="D65" s="22"/>
      <c r="J65" s="21"/>
      <c r="K65" s="22"/>
    </row>
    <row r="66">
      <c r="A66" s="1" t="s">
        <v>119</v>
      </c>
      <c r="B66" s="1">
        <v>20.3</v>
      </c>
      <c r="D66" s="22"/>
      <c r="J66" s="21"/>
      <c r="K66" s="22"/>
    </row>
    <row r="67">
      <c r="A67" s="1" t="s">
        <v>92</v>
      </c>
      <c r="B67" s="1">
        <v>20.2</v>
      </c>
      <c r="D67" s="22"/>
      <c r="J67" s="21"/>
      <c r="K67" s="22"/>
    </row>
    <row r="68">
      <c r="A68" s="1" t="s">
        <v>97</v>
      </c>
      <c r="B68" s="1">
        <v>20.1</v>
      </c>
      <c r="D68" s="22"/>
      <c r="J68" s="21"/>
      <c r="K68" s="22"/>
    </row>
    <row r="69">
      <c r="A69" s="1" t="s">
        <v>219</v>
      </c>
      <c r="B69" s="1">
        <v>20.1</v>
      </c>
      <c r="D69" s="22"/>
      <c r="J69" s="21"/>
      <c r="K69" s="22"/>
    </row>
    <row r="70">
      <c r="A70" s="1" t="s">
        <v>134</v>
      </c>
      <c r="B70" s="1">
        <v>20.1</v>
      </c>
      <c r="D70" s="22"/>
      <c r="J70" s="21"/>
      <c r="K70" s="22"/>
    </row>
    <row r="71">
      <c r="A71" s="1" t="s">
        <v>70</v>
      </c>
      <c r="B71" s="1">
        <v>20.0</v>
      </c>
      <c r="D71" s="22"/>
      <c r="J71" s="21"/>
      <c r="K71" s="22"/>
    </row>
    <row r="72">
      <c r="A72" s="1" t="s">
        <v>127</v>
      </c>
      <c r="B72" s="1">
        <v>20.0</v>
      </c>
      <c r="D72" s="22"/>
      <c r="J72" s="21"/>
      <c r="K72" s="22"/>
    </row>
    <row r="73">
      <c r="A73" s="1" t="s">
        <v>116</v>
      </c>
      <c r="B73" s="1">
        <v>19.9</v>
      </c>
      <c r="D73" s="22"/>
      <c r="J73" s="21"/>
      <c r="K73" s="22"/>
    </row>
    <row r="74">
      <c r="A74" s="1" t="s">
        <v>131</v>
      </c>
      <c r="B74" s="1">
        <v>19.3</v>
      </c>
      <c r="D74" s="22"/>
      <c r="J74" s="21"/>
      <c r="K74" s="22"/>
    </row>
    <row r="75">
      <c r="A75" s="1" t="s">
        <v>102</v>
      </c>
      <c r="B75" s="1">
        <v>19.2</v>
      </c>
      <c r="D75" s="22"/>
      <c r="J75" s="21"/>
      <c r="K75" s="22"/>
    </row>
    <row r="76">
      <c r="A76" s="1" t="s">
        <v>148</v>
      </c>
      <c r="B76" s="1">
        <v>19.1</v>
      </c>
      <c r="D76" s="22"/>
      <c r="J76" s="21"/>
      <c r="K76" s="22"/>
    </row>
    <row r="77">
      <c r="A77" s="1" t="s">
        <v>99</v>
      </c>
      <c r="B77" s="1">
        <v>18.6</v>
      </c>
      <c r="D77" s="22"/>
      <c r="J77" s="21"/>
      <c r="K77" s="22"/>
    </row>
    <row r="78">
      <c r="A78" s="1" t="s">
        <v>250</v>
      </c>
      <c r="B78" s="1">
        <v>18.4</v>
      </c>
      <c r="D78" s="22"/>
      <c r="J78" s="21"/>
      <c r="K78" s="22"/>
    </row>
    <row r="79">
      <c r="A79" s="1" t="s">
        <v>132</v>
      </c>
      <c r="B79" s="1">
        <v>18.1</v>
      </c>
      <c r="D79" s="22"/>
      <c r="J79" s="21"/>
      <c r="K79" s="22"/>
    </row>
    <row r="80">
      <c r="A80" s="1" t="s">
        <v>133</v>
      </c>
      <c r="B80" s="1">
        <v>18.0</v>
      </c>
      <c r="D80" s="22"/>
      <c r="J80" s="21"/>
      <c r="K80" s="22"/>
    </row>
    <row r="81">
      <c r="A81" s="1" t="s">
        <v>143</v>
      </c>
      <c r="B81" s="1">
        <v>17.2</v>
      </c>
      <c r="D81" s="22"/>
      <c r="J81" s="21"/>
      <c r="K81" s="22"/>
    </row>
    <row r="82">
      <c r="A82" s="1" t="s">
        <v>107</v>
      </c>
      <c r="B82" s="1">
        <v>17.1</v>
      </c>
      <c r="D82" s="22"/>
      <c r="J82" s="21"/>
      <c r="K82" s="22"/>
    </row>
    <row r="83">
      <c r="A83" s="1" t="s">
        <v>201</v>
      </c>
      <c r="B83" s="1">
        <v>17.0</v>
      </c>
      <c r="D83" s="22"/>
      <c r="J83" s="21"/>
      <c r="K83" s="22"/>
    </row>
    <row r="84">
      <c r="A84" s="1" t="s">
        <v>145</v>
      </c>
      <c r="B84" s="1">
        <v>16.9</v>
      </c>
      <c r="D84" s="22"/>
      <c r="J84" s="21"/>
      <c r="K84" s="22"/>
    </row>
    <row r="85">
      <c r="A85" s="1" t="s">
        <v>141</v>
      </c>
      <c r="B85" s="1">
        <v>16.7</v>
      </c>
      <c r="D85" s="22"/>
      <c r="J85" s="21"/>
      <c r="K85" s="22"/>
    </row>
    <row r="86">
      <c r="A86" s="1" t="s">
        <v>89</v>
      </c>
      <c r="B86" s="1">
        <v>16.3</v>
      </c>
      <c r="D86" s="22"/>
      <c r="J86" s="21"/>
      <c r="K86" s="22"/>
    </row>
    <row r="87">
      <c r="A87" s="1" t="s">
        <v>137</v>
      </c>
      <c r="B87" s="1">
        <v>16.1</v>
      </c>
      <c r="D87" s="22"/>
      <c r="J87" s="21"/>
      <c r="K87" s="22"/>
    </row>
    <row r="88">
      <c r="A88" s="1" t="s">
        <v>120</v>
      </c>
      <c r="B88" s="1">
        <v>16.0</v>
      </c>
      <c r="D88" s="22"/>
      <c r="J88" s="21"/>
      <c r="K88" s="22"/>
    </row>
    <row r="89">
      <c r="A89" s="1" t="s">
        <v>161</v>
      </c>
      <c r="B89" s="1">
        <v>15.9</v>
      </c>
      <c r="D89" s="22"/>
      <c r="J89" s="21"/>
      <c r="K89" s="22"/>
    </row>
    <row r="90">
      <c r="A90" s="1" t="s">
        <v>121</v>
      </c>
      <c r="B90" s="1">
        <v>15.1</v>
      </c>
      <c r="D90" s="22"/>
      <c r="J90" s="21"/>
      <c r="K90" s="22"/>
    </row>
    <row r="91">
      <c r="A91" s="1" t="s">
        <v>108</v>
      </c>
      <c r="B91" s="1">
        <v>15.1</v>
      </c>
      <c r="D91" s="22"/>
      <c r="J91" s="21"/>
      <c r="K91" s="22"/>
    </row>
    <row r="92">
      <c r="A92" s="1" t="s">
        <v>122</v>
      </c>
      <c r="B92" s="1">
        <v>14.4</v>
      </c>
      <c r="D92" s="22"/>
      <c r="J92" s="21"/>
      <c r="K92" s="22"/>
    </row>
    <row r="93">
      <c r="A93" s="1" t="s">
        <v>202</v>
      </c>
      <c r="B93" s="1">
        <v>14.2</v>
      </c>
      <c r="D93" s="22"/>
      <c r="J93" s="21"/>
      <c r="K93" s="22"/>
    </row>
    <row r="94">
      <c r="A94" s="1" t="s">
        <v>150</v>
      </c>
      <c r="B94" s="1">
        <v>14.2</v>
      </c>
      <c r="D94" s="22"/>
      <c r="J94" s="21"/>
      <c r="K94" s="22"/>
    </row>
    <row r="95">
      <c r="A95" s="1" t="s">
        <v>146</v>
      </c>
      <c r="B95" s="1">
        <v>14.1</v>
      </c>
      <c r="D95" s="22"/>
      <c r="J95" s="21"/>
      <c r="K95" s="22"/>
    </row>
    <row r="96">
      <c r="A96" s="1" t="s">
        <v>104</v>
      </c>
      <c r="B96" s="1">
        <v>13.4</v>
      </c>
      <c r="D96" s="22"/>
      <c r="J96" s="21"/>
      <c r="K96" s="22"/>
    </row>
    <row r="97">
      <c r="A97" s="1" t="s">
        <v>135</v>
      </c>
      <c r="B97" s="1">
        <v>13.2</v>
      </c>
      <c r="D97" s="22"/>
      <c r="J97" s="21"/>
      <c r="K97" s="22"/>
    </row>
    <row r="98">
      <c r="A98" s="1" t="s">
        <v>176</v>
      </c>
      <c r="B98" s="1">
        <v>12.8</v>
      </c>
      <c r="D98" s="22"/>
      <c r="J98" s="21"/>
      <c r="K98" s="22"/>
    </row>
    <row r="99">
      <c r="A99" s="1" t="s">
        <v>129</v>
      </c>
      <c r="B99" s="1">
        <v>12.3</v>
      </c>
      <c r="D99" s="22"/>
      <c r="J99" s="21"/>
      <c r="K99" s="22"/>
    </row>
    <row r="100">
      <c r="A100" s="1" t="s">
        <v>117</v>
      </c>
      <c r="B100" s="1">
        <v>12.2</v>
      </c>
      <c r="D100" s="22"/>
      <c r="J100" s="21"/>
      <c r="K100" s="22"/>
    </row>
    <row r="101">
      <c r="A101" s="1" t="s">
        <v>166</v>
      </c>
      <c r="B101" s="1">
        <v>11.9</v>
      </c>
      <c r="D101" s="22"/>
      <c r="J101" s="21"/>
      <c r="K101" s="22"/>
    </row>
    <row r="102">
      <c r="A102" s="1" t="s">
        <v>136</v>
      </c>
      <c r="B102" s="1">
        <v>11.5</v>
      </c>
      <c r="D102" s="22"/>
      <c r="J102" s="21"/>
      <c r="K102" s="22"/>
    </row>
    <row r="103">
      <c r="A103" s="1" t="s">
        <v>151</v>
      </c>
      <c r="B103" s="1">
        <v>11.3</v>
      </c>
      <c r="D103" s="22"/>
      <c r="J103" s="21"/>
      <c r="K103" s="22"/>
    </row>
    <row r="104">
      <c r="A104" s="1" t="s">
        <v>124</v>
      </c>
      <c r="B104" s="1">
        <v>10.9</v>
      </c>
      <c r="D104" s="22"/>
      <c r="J104" s="21"/>
      <c r="K104" s="22"/>
    </row>
    <row r="105">
      <c r="A105" s="1" t="s">
        <v>126</v>
      </c>
      <c r="B105" s="1">
        <v>9.4</v>
      </c>
      <c r="D105" s="22"/>
      <c r="J105" s="21"/>
      <c r="K105" s="22"/>
    </row>
    <row r="106">
      <c r="A106" s="1" t="s">
        <v>251</v>
      </c>
      <c r="B106" s="1">
        <v>9.1</v>
      </c>
      <c r="D106" s="22"/>
      <c r="J106" s="21"/>
      <c r="K106" s="22"/>
    </row>
    <row r="107">
      <c r="A107" s="1" t="s">
        <v>186</v>
      </c>
      <c r="B107" s="1">
        <v>9.1</v>
      </c>
      <c r="D107" s="22"/>
      <c r="J107" s="21"/>
      <c r="K107" s="22"/>
    </row>
    <row r="108">
      <c r="A108" s="1" t="s">
        <v>177</v>
      </c>
      <c r="B108" s="1">
        <v>8.6</v>
      </c>
      <c r="D108" s="22"/>
      <c r="J108" s="21"/>
      <c r="K108" s="22"/>
    </row>
    <row r="109">
      <c r="A109" s="1" t="s">
        <v>208</v>
      </c>
      <c r="B109" s="1">
        <v>8.5</v>
      </c>
      <c r="D109" s="22"/>
      <c r="J109" s="21"/>
      <c r="K109" s="22"/>
    </row>
    <row r="110">
      <c r="A110" s="1" t="s">
        <v>165</v>
      </c>
      <c r="B110" s="1">
        <v>8.4</v>
      </c>
      <c r="D110" s="22"/>
      <c r="J110" s="21"/>
      <c r="K110" s="22"/>
    </row>
    <row r="111">
      <c r="A111" s="1" t="s">
        <v>207</v>
      </c>
      <c r="B111" s="1">
        <v>7.1</v>
      </c>
      <c r="D111" s="22"/>
      <c r="J111" s="21"/>
      <c r="K111" s="22"/>
    </row>
    <row r="112">
      <c r="A112" s="1" t="s">
        <v>159</v>
      </c>
      <c r="B112" s="1">
        <v>6.2</v>
      </c>
      <c r="D112" s="22"/>
      <c r="J112" s="21"/>
      <c r="K112" s="22"/>
    </row>
    <row r="113">
      <c r="A113" s="1" t="s">
        <v>185</v>
      </c>
      <c r="B113" s="1">
        <v>6.1</v>
      </c>
      <c r="D113" s="22"/>
      <c r="J113" s="21"/>
      <c r="K113" s="22"/>
    </row>
    <row r="114">
      <c r="A114" s="1" t="s">
        <v>110</v>
      </c>
      <c r="B114" s="1">
        <v>6.0</v>
      </c>
      <c r="D114" s="22"/>
      <c r="J114" s="21"/>
      <c r="K114" s="22"/>
    </row>
    <row r="115">
      <c r="A115" s="1" t="s">
        <v>181</v>
      </c>
      <c r="B115" s="1">
        <v>4.5</v>
      </c>
      <c r="D115" s="22"/>
      <c r="J115" s="21"/>
      <c r="K115" s="22"/>
    </row>
    <row r="116">
      <c r="A116" s="1" t="s">
        <v>189</v>
      </c>
      <c r="B116" s="1">
        <v>4.5</v>
      </c>
      <c r="D116" s="22"/>
      <c r="J116" s="21"/>
      <c r="K116" s="22"/>
    </row>
    <row r="117">
      <c r="A117" s="1" t="s">
        <v>170</v>
      </c>
      <c r="B117" s="1">
        <v>4.5</v>
      </c>
      <c r="D117" s="22"/>
      <c r="J117" s="21"/>
      <c r="K117" s="22"/>
    </row>
    <row r="118">
      <c r="A118" s="1" t="s">
        <v>183</v>
      </c>
      <c r="B118" s="1">
        <v>4.4</v>
      </c>
      <c r="D118" s="22"/>
      <c r="J118" s="21"/>
      <c r="K118" s="22"/>
    </row>
    <row r="119">
      <c r="A119" s="1" t="s">
        <v>191</v>
      </c>
      <c r="B119" s="1">
        <v>4.3</v>
      </c>
      <c r="D119" s="22"/>
      <c r="J119" s="21"/>
      <c r="K119" s="22"/>
    </row>
    <row r="120">
      <c r="A120" s="1" t="s">
        <v>193</v>
      </c>
      <c r="B120" s="1">
        <v>2.2</v>
      </c>
      <c r="D120" s="22"/>
      <c r="J120" s="21"/>
      <c r="K120" s="22"/>
    </row>
    <row r="121">
      <c r="A121" s="1" t="s">
        <v>195</v>
      </c>
      <c r="B121" s="1">
        <v>2.0</v>
      </c>
      <c r="D121" s="22"/>
      <c r="J121" s="21"/>
      <c r="K121" s="22"/>
    </row>
    <row r="122">
      <c r="A122" s="1" t="s">
        <v>206</v>
      </c>
      <c r="B122" s="1">
        <v>1.8</v>
      </c>
      <c r="D122" s="22"/>
      <c r="J122" s="21"/>
      <c r="K122" s="22"/>
    </row>
    <row r="123">
      <c r="A123" s="1" t="s">
        <v>214</v>
      </c>
      <c r="B123" s="1">
        <v>1.7</v>
      </c>
      <c r="D123" s="22"/>
      <c r="J123" s="21"/>
      <c r="K123" s="22"/>
    </row>
    <row r="124">
      <c r="A124" s="1" t="s">
        <v>197</v>
      </c>
      <c r="B124" s="1">
        <v>1.6</v>
      </c>
      <c r="D124" s="22"/>
      <c r="J124" s="21"/>
      <c r="K124" s="22"/>
    </row>
    <row r="125">
      <c r="A125" s="1" t="s">
        <v>140</v>
      </c>
      <c r="B125" s="1">
        <v>1.5</v>
      </c>
      <c r="D125" s="22"/>
      <c r="J125" s="21"/>
      <c r="K125" s="22"/>
    </row>
    <row r="126">
      <c r="A126" s="1" t="s">
        <v>217</v>
      </c>
      <c r="B126" s="1">
        <v>1.4</v>
      </c>
      <c r="D126" s="22"/>
      <c r="J126" s="21"/>
      <c r="K126" s="22"/>
    </row>
    <row r="127">
      <c r="A127" s="1" t="s">
        <v>190</v>
      </c>
      <c r="B127" s="1">
        <v>1.0</v>
      </c>
      <c r="D127" s="22"/>
      <c r="J127" s="21"/>
      <c r="K127" s="22"/>
    </row>
    <row r="128">
      <c r="A128" s="1" t="s">
        <v>212</v>
      </c>
      <c r="B128" s="1">
        <v>0.9</v>
      </c>
      <c r="D128" s="22"/>
      <c r="J128" s="21"/>
      <c r="K128" s="22"/>
    </row>
    <row r="129">
      <c r="A129" s="1" t="s">
        <v>158</v>
      </c>
      <c r="B129" s="1">
        <v>0.9</v>
      </c>
      <c r="D129" s="22"/>
      <c r="J129" s="21"/>
      <c r="K129" s="22"/>
    </row>
    <row r="130">
      <c r="A130" s="1" t="s">
        <v>153</v>
      </c>
      <c r="B130" s="1">
        <v>0.9</v>
      </c>
      <c r="D130" s="22"/>
      <c r="J130" s="21"/>
      <c r="K130" s="22"/>
    </row>
    <row r="131">
      <c r="A131" s="1" t="s">
        <v>175</v>
      </c>
      <c r="B131" s="1">
        <v>0.8</v>
      </c>
      <c r="D131" s="22"/>
      <c r="J131" s="21"/>
      <c r="K131" s="22"/>
    </row>
    <row r="132">
      <c r="A132" s="1" t="s">
        <v>200</v>
      </c>
      <c r="B132" s="1">
        <v>0.5</v>
      </c>
      <c r="D132" s="22"/>
      <c r="J132" s="21"/>
      <c r="K132" s="22"/>
    </row>
    <row r="133">
      <c r="A133" s="1" t="s">
        <v>178</v>
      </c>
      <c r="B133" s="1">
        <v>0.4</v>
      </c>
      <c r="D133" s="22"/>
      <c r="J133" s="21"/>
      <c r="K133" s="22"/>
    </row>
    <row r="134">
      <c r="A134" s="1" t="s">
        <v>105</v>
      </c>
      <c r="B134" s="1">
        <v>0.4</v>
      </c>
      <c r="D134" s="22"/>
      <c r="J134" s="21"/>
      <c r="K134" s="22"/>
    </row>
    <row r="135">
      <c r="A135" s="1" t="s">
        <v>162</v>
      </c>
      <c r="B135" s="1">
        <v>0.3</v>
      </c>
      <c r="D135" s="22"/>
      <c r="J135" s="21"/>
      <c r="K135" s="22"/>
    </row>
    <row r="136">
      <c r="A136" s="1" t="s">
        <v>173</v>
      </c>
      <c r="B136" s="1">
        <v>0.3</v>
      </c>
      <c r="D136" s="22"/>
      <c r="J136" s="21"/>
      <c r="K136" s="22"/>
    </row>
    <row r="137">
      <c r="A137" s="1" t="s">
        <v>203</v>
      </c>
      <c r="B137" s="1">
        <v>0.3</v>
      </c>
      <c r="D137" s="22"/>
      <c r="J137" s="21"/>
      <c r="K137" s="22"/>
    </row>
    <row r="138">
      <c r="A138" s="1" t="s">
        <v>227</v>
      </c>
      <c r="B138" s="1">
        <v>0.3</v>
      </c>
      <c r="D138" s="22"/>
      <c r="J138" s="21"/>
      <c r="K138" s="22"/>
    </row>
    <row r="139">
      <c r="A139" s="1" t="s">
        <v>222</v>
      </c>
      <c r="B139" s="1">
        <v>0.3</v>
      </c>
      <c r="D139" s="22"/>
      <c r="J139" s="21"/>
      <c r="K139" s="22"/>
    </row>
    <row r="140">
      <c r="A140" s="1" t="s">
        <v>187</v>
      </c>
      <c r="B140" s="1">
        <v>0.2</v>
      </c>
      <c r="D140" s="22"/>
      <c r="J140" s="21"/>
      <c r="K140" s="22"/>
    </row>
    <row r="141">
      <c r="A141" s="1" t="s">
        <v>169</v>
      </c>
      <c r="B141" s="1">
        <v>0.2</v>
      </c>
      <c r="D141" s="22"/>
      <c r="J141" s="21"/>
      <c r="K141" s="22"/>
    </row>
    <row r="142">
      <c r="A142" s="1" t="s">
        <v>194</v>
      </c>
      <c r="B142" s="1">
        <v>0.2</v>
      </c>
      <c r="D142" s="22"/>
      <c r="J142" s="21"/>
      <c r="K142" s="22"/>
    </row>
    <row r="143">
      <c r="A143" s="1" t="s">
        <v>196</v>
      </c>
      <c r="B143" s="1">
        <v>0.1</v>
      </c>
      <c r="D143" s="22"/>
      <c r="J143" s="21"/>
      <c r="K143" s="22"/>
    </row>
    <row r="144">
      <c r="A144" s="1" t="s">
        <v>179</v>
      </c>
      <c r="B144" s="1">
        <v>0.1</v>
      </c>
      <c r="D144" s="22"/>
      <c r="J144" s="21"/>
      <c r="K144" s="22"/>
    </row>
    <row r="145">
      <c r="A145" s="1" t="s">
        <v>109</v>
      </c>
      <c r="B145" s="1">
        <v>0.0</v>
      </c>
      <c r="D145" s="22"/>
      <c r="J145" s="21"/>
      <c r="K145" s="22"/>
    </row>
    <row r="146">
      <c r="A146" s="1" t="s">
        <v>226</v>
      </c>
      <c r="B146" s="1">
        <v>0.0</v>
      </c>
      <c r="J146" s="21"/>
      <c r="K146" s="22"/>
    </row>
    <row r="147">
      <c r="A147" s="1" t="s">
        <v>168</v>
      </c>
      <c r="B147" s="1">
        <v>0.0</v>
      </c>
      <c r="J147" s="21"/>
      <c r="K147" s="22"/>
    </row>
    <row r="148">
      <c r="A148" s="1" t="s">
        <v>182</v>
      </c>
      <c r="B148" s="1">
        <v>0.0</v>
      </c>
      <c r="J148" s="21"/>
      <c r="K148" s="22"/>
    </row>
    <row r="149">
      <c r="A149" s="1" t="s">
        <v>26</v>
      </c>
      <c r="B149" s="1">
        <v>0.0</v>
      </c>
      <c r="J149" s="21"/>
      <c r="K149" s="22"/>
    </row>
    <row r="150">
      <c r="A150" s="1" t="s">
        <v>220</v>
      </c>
      <c r="B150" s="1">
        <v>0.0</v>
      </c>
      <c r="J150" s="21"/>
      <c r="K150" s="22"/>
    </row>
    <row r="151">
      <c r="A151" s="1" t="s">
        <v>54</v>
      </c>
      <c r="B151" s="1">
        <v>0.0</v>
      </c>
      <c r="J151" s="21"/>
      <c r="K151" s="22"/>
    </row>
    <row r="152">
      <c r="A152" s="1" t="s">
        <v>149</v>
      </c>
      <c r="B152" s="1">
        <v>0.0</v>
      </c>
      <c r="J152" s="21"/>
      <c r="K152" s="22"/>
    </row>
    <row r="153">
      <c r="A153" s="1" t="s">
        <v>204</v>
      </c>
      <c r="B153" s="1">
        <v>0.0</v>
      </c>
      <c r="J153" s="21"/>
      <c r="K153" s="22"/>
    </row>
    <row r="154">
      <c r="A154" s="1" t="s">
        <v>225</v>
      </c>
      <c r="B154" s="1">
        <v>0.0</v>
      </c>
      <c r="J154" s="21"/>
      <c r="K154" s="22"/>
    </row>
    <row r="155">
      <c r="A155" s="1" t="s">
        <v>33</v>
      </c>
      <c r="B155" s="1">
        <v>0.0</v>
      </c>
      <c r="J155" s="21"/>
      <c r="K155" s="22"/>
    </row>
    <row r="156">
      <c r="A156" s="1" t="s">
        <v>223</v>
      </c>
      <c r="B156" s="1">
        <v>0.0</v>
      </c>
      <c r="J156" s="21"/>
      <c r="K156" s="22"/>
    </row>
    <row r="157">
      <c r="A157" s="1" t="s">
        <v>139</v>
      </c>
      <c r="B157" s="1">
        <v>0.0</v>
      </c>
      <c r="J157" s="21"/>
      <c r="K157" s="22"/>
    </row>
    <row r="158">
      <c r="A158" s="1" t="s">
        <v>57</v>
      </c>
      <c r="B158" s="1">
        <v>0.0</v>
      </c>
      <c r="J158" s="21"/>
      <c r="K158" s="22"/>
    </row>
    <row r="159">
      <c r="A159" s="1" t="s">
        <v>118</v>
      </c>
      <c r="B159" s="1">
        <v>0.0</v>
      </c>
      <c r="J159" s="21"/>
      <c r="K159" s="22"/>
    </row>
    <row r="160">
      <c r="A160" s="1" t="s">
        <v>209</v>
      </c>
      <c r="B160" s="1">
        <v>0.0</v>
      </c>
      <c r="J160" s="21"/>
      <c r="K160" s="22"/>
    </row>
    <row r="161">
      <c r="A161" s="1" t="s">
        <v>224</v>
      </c>
      <c r="B161" s="1">
        <v>0.0</v>
      </c>
      <c r="J161" s="21"/>
      <c r="K161" s="22"/>
    </row>
    <row r="162">
      <c r="A162" s="1" t="s">
        <v>96</v>
      </c>
      <c r="B162" s="1">
        <v>0.0</v>
      </c>
      <c r="J162" s="21"/>
      <c r="K162" s="22"/>
    </row>
    <row r="163">
      <c r="A163" s="1" t="s">
        <v>156</v>
      </c>
      <c r="B163" s="1">
        <v>0.0</v>
      </c>
      <c r="J163" s="21"/>
      <c r="K163" s="22"/>
    </row>
    <row r="164">
      <c r="A164" s="1" t="s">
        <v>130</v>
      </c>
      <c r="B164" s="1">
        <v>0.0</v>
      </c>
      <c r="J164" s="21"/>
      <c r="K164" s="22"/>
    </row>
    <row r="165">
      <c r="A165" s="1" t="s">
        <v>73</v>
      </c>
      <c r="B165" s="1">
        <v>0.0</v>
      </c>
      <c r="J165" s="21"/>
      <c r="K165" s="22"/>
    </row>
    <row r="166">
      <c r="A166" s="1" t="s">
        <v>160</v>
      </c>
      <c r="B166" s="1">
        <v>0.0</v>
      </c>
      <c r="J166" s="21"/>
      <c r="K166" s="22"/>
    </row>
    <row r="167">
      <c r="A167" s="1" t="s">
        <v>205</v>
      </c>
      <c r="B167" s="1">
        <v>0.0</v>
      </c>
      <c r="J167" s="21"/>
      <c r="K167" s="22"/>
    </row>
    <row r="168">
      <c r="A168" s="1" t="s">
        <v>154</v>
      </c>
      <c r="B168" s="1">
        <v>0.0</v>
      </c>
      <c r="J168" s="21"/>
      <c r="K168" s="22"/>
    </row>
    <row r="169">
      <c r="A169" s="1" t="s">
        <v>180</v>
      </c>
      <c r="B169" s="1">
        <v>0.0</v>
      </c>
      <c r="J169" s="21"/>
      <c r="K169" s="22"/>
    </row>
    <row r="170">
      <c r="A170" s="1" t="s">
        <v>213</v>
      </c>
      <c r="B170" s="1">
        <v>0.0</v>
      </c>
      <c r="J170" s="21"/>
      <c r="K170" s="22"/>
    </row>
    <row r="171">
      <c r="A171" s="1" t="s">
        <v>163</v>
      </c>
      <c r="B171" s="1">
        <v>0.0</v>
      </c>
      <c r="J171" s="21"/>
      <c r="K171" s="22"/>
    </row>
    <row r="172">
      <c r="A172" s="1" t="s">
        <v>52</v>
      </c>
      <c r="B172" s="1">
        <v>0.0</v>
      </c>
      <c r="J172" s="21"/>
      <c r="K172" s="22"/>
    </row>
    <row r="173">
      <c r="A173" s="1" t="s">
        <v>66</v>
      </c>
      <c r="B173" s="1">
        <v>0.0</v>
      </c>
      <c r="J173" s="21"/>
      <c r="K173" s="22"/>
    </row>
    <row r="174">
      <c r="A174" s="1" t="s">
        <v>128</v>
      </c>
      <c r="B174" s="1">
        <v>0.0</v>
      </c>
      <c r="J174" s="21"/>
      <c r="K174" s="22"/>
    </row>
    <row r="175">
      <c r="A175" s="1" t="s">
        <v>34</v>
      </c>
      <c r="B175" s="1">
        <v>0.0</v>
      </c>
      <c r="J175" s="21"/>
      <c r="K175" s="22"/>
    </row>
    <row r="176">
      <c r="A176" s="1" t="s">
        <v>199</v>
      </c>
      <c r="B176" s="1">
        <v>0.0</v>
      </c>
      <c r="J176" s="21"/>
      <c r="K176" s="22"/>
    </row>
    <row r="177">
      <c r="A177" s="1"/>
      <c r="B177" s="1"/>
      <c r="J177" s="21"/>
      <c r="K177" s="22"/>
    </row>
    <row r="178">
      <c r="A178" s="1"/>
      <c r="B178" s="1"/>
      <c r="J178" s="21"/>
      <c r="K178" s="22"/>
    </row>
    <row r="179">
      <c r="A179" s="1"/>
      <c r="B179" s="1"/>
      <c r="J179" s="21"/>
      <c r="K179" s="22"/>
    </row>
    <row r="180">
      <c r="A180" s="1"/>
      <c r="B180" s="1"/>
      <c r="J180" s="21"/>
      <c r="K180" s="22"/>
    </row>
    <row r="181">
      <c r="A181" s="1"/>
      <c r="B181" s="1"/>
      <c r="J181" s="21"/>
      <c r="K181" s="22"/>
    </row>
    <row r="182">
      <c r="A182" s="1"/>
      <c r="B182" s="1"/>
      <c r="J182" s="21"/>
      <c r="K182" s="22"/>
    </row>
    <row r="183">
      <c r="A183" s="1"/>
      <c r="B183" s="1"/>
      <c r="J183" s="21"/>
      <c r="K183" s="22"/>
    </row>
    <row r="184">
      <c r="A184" s="1"/>
      <c r="B184" s="1"/>
      <c r="J184" s="21"/>
      <c r="K184" s="22"/>
    </row>
    <row r="185">
      <c r="A185" s="1"/>
      <c r="B185" s="1"/>
      <c r="J185" s="21"/>
      <c r="K185" s="22"/>
    </row>
    <row r="186">
      <c r="A186" s="1"/>
      <c r="B186" s="1"/>
      <c r="J186" s="21"/>
      <c r="K186" s="22"/>
    </row>
    <row r="187">
      <c r="A187" s="1"/>
      <c r="B187" s="1"/>
      <c r="J187" s="21"/>
      <c r="K187" s="22"/>
    </row>
    <row r="188">
      <c r="A188" s="1"/>
      <c r="B188" s="1"/>
      <c r="J188" s="21"/>
      <c r="K188" s="22"/>
    </row>
    <row r="189">
      <c r="A189" s="1"/>
      <c r="B189" s="1"/>
      <c r="J189" s="21"/>
      <c r="K189" s="22"/>
    </row>
    <row r="190">
      <c r="A190" s="1"/>
      <c r="B190" s="1"/>
      <c r="J190" s="21"/>
      <c r="K190" s="22"/>
    </row>
    <row r="191">
      <c r="A191" s="1"/>
      <c r="B191" s="1"/>
      <c r="J191" s="21"/>
      <c r="K191" s="22"/>
    </row>
    <row r="192">
      <c r="A192" s="1"/>
      <c r="B192" s="1"/>
      <c r="J192" s="21"/>
      <c r="K192" s="22"/>
    </row>
    <row r="193">
      <c r="A193" s="1"/>
      <c r="B193" s="1"/>
      <c r="J193" s="21"/>
      <c r="K193" s="22"/>
    </row>
    <row r="194">
      <c r="A194" s="1"/>
      <c r="B194" s="1"/>
      <c r="J194" s="21"/>
      <c r="K194" s="22"/>
    </row>
    <row r="195">
      <c r="A195" s="1"/>
      <c r="B195" s="1"/>
      <c r="J195" s="21"/>
      <c r="K195" s="22"/>
    </row>
    <row r="196">
      <c r="A196" s="1"/>
      <c r="B196" s="1"/>
      <c r="J196" s="21"/>
      <c r="K196" s="22"/>
    </row>
    <row r="197">
      <c r="A197" s="1"/>
      <c r="B197" s="1"/>
      <c r="J197" s="21"/>
      <c r="K197" s="22"/>
    </row>
    <row r="198">
      <c r="A198" s="1"/>
      <c r="B198" s="1"/>
      <c r="J198" s="21"/>
      <c r="K198" s="22"/>
    </row>
    <row r="199">
      <c r="A199" s="1"/>
      <c r="B199" s="1"/>
      <c r="J199" s="21"/>
      <c r="K199" s="22"/>
    </row>
    <row r="200">
      <c r="A200" s="1"/>
      <c r="B200" s="1"/>
      <c r="J200" s="21"/>
      <c r="K200" s="22"/>
    </row>
    <row r="201">
      <c r="A201" s="1"/>
      <c r="B201" s="1"/>
      <c r="J201" s="21"/>
      <c r="K201" s="22"/>
    </row>
    <row r="202">
      <c r="A202" s="1"/>
      <c r="B202" s="1"/>
      <c r="J202" s="21"/>
      <c r="K202" s="22"/>
    </row>
    <row r="203">
      <c r="A203" s="1"/>
      <c r="B203" s="1"/>
      <c r="J203" s="21"/>
      <c r="K203" s="22"/>
    </row>
    <row r="204">
      <c r="A204" s="1"/>
      <c r="B204" s="1"/>
      <c r="J204" s="21"/>
      <c r="K204" s="22"/>
    </row>
    <row r="205">
      <c r="A205" s="1"/>
      <c r="B205" s="1"/>
      <c r="J205" s="21"/>
      <c r="K205" s="22"/>
    </row>
    <row r="206">
      <c r="A206" s="1"/>
      <c r="B206" s="1"/>
      <c r="J206" s="21"/>
      <c r="K206" s="22"/>
    </row>
    <row r="207">
      <c r="A207" s="1"/>
      <c r="B207" s="1"/>
      <c r="J207" s="21"/>
      <c r="K207" s="22"/>
    </row>
    <row r="208">
      <c r="A208" s="1"/>
      <c r="B208" s="1"/>
      <c r="J208" s="21"/>
      <c r="K208" s="22"/>
    </row>
    <row r="209">
      <c r="A209" s="1"/>
      <c r="B209" s="1"/>
      <c r="J209" s="21"/>
      <c r="K209" s="22"/>
    </row>
    <row r="210">
      <c r="A210" s="1"/>
      <c r="B210" s="1"/>
      <c r="J210" s="21"/>
      <c r="K210" s="22"/>
    </row>
    <row r="211">
      <c r="A211" s="1"/>
      <c r="B211" s="1"/>
      <c r="J211" s="21"/>
      <c r="K211" s="22"/>
    </row>
    <row r="212">
      <c r="A212" s="1"/>
      <c r="B212" s="1"/>
      <c r="J212" s="21"/>
      <c r="K212" s="22"/>
    </row>
    <row r="213">
      <c r="A213" s="1"/>
      <c r="B213" s="1"/>
      <c r="J213" s="21"/>
      <c r="K213" s="22"/>
    </row>
    <row r="214">
      <c r="A214" s="1"/>
      <c r="B214" s="1"/>
      <c r="J214" s="21"/>
      <c r="K214" s="22"/>
    </row>
    <row r="215">
      <c r="A215" s="16"/>
      <c r="B215" s="16"/>
      <c r="J215" s="21"/>
      <c r="K215" s="22"/>
    </row>
    <row r="216">
      <c r="A216" s="16"/>
      <c r="B216" s="16"/>
      <c r="J216" s="21"/>
      <c r="K216" s="22"/>
    </row>
    <row r="217">
      <c r="A217" s="16"/>
      <c r="B217" s="16"/>
      <c r="J217" s="21"/>
      <c r="K217" s="22"/>
    </row>
    <row r="218">
      <c r="A218" s="16"/>
      <c r="B218" s="16"/>
      <c r="J218" s="21"/>
      <c r="K218" s="22"/>
    </row>
    <row r="219">
      <c r="A219" s="16"/>
      <c r="B219" s="16"/>
      <c r="J219" s="21"/>
      <c r="K219" s="22"/>
    </row>
    <row r="220">
      <c r="A220" s="16"/>
      <c r="B220" s="16"/>
      <c r="J220" s="21"/>
      <c r="K220" s="22"/>
    </row>
    <row r="221">
      <c r="A221" s="16"/>
      <c r="B221" s="16"/>
      <c r="J221" s="21"/>
      <c r="K221" s="22"/>
    </row>
    <row r="222">
      <c r="A222" s="16"/>
      <c r="B222" s="16"/>
      <c r="J222" s="21"/>
      <c r="K222" s="22"/>
    </row>
    <row r="223">
      <c r="A223" s="16"/>
      <c r="B223" s="16"/>
      <c r="J223" s="21"/>
      <c r="K223" s="22"/>
    </row>
    <row r="224">
      <c r="A224" s="16"/>
      <c r="B224" s="16"/>
      <c r="J224" s="21"/>
      <c r="K224" s="22"/>
    </row>
    <row r="225">
      <c r="A225" s="16"/>
      <c r="B225" s="16"/>
      <c r="J225" s="21"/>
      <c r="K225" s="22"/>
    </row>
    <row r="226">
      <c r="A226" s="16"/>
      <c r="B226" s="16"/>
      <c r="J226" s="21"/>
      <c r="K226" s="22"/>
    </row>
    <row r="227">
      <c r="A227" s="16"/>
      <c r="B227" s="16"/>
      <c r="J227" s="21"/>
      <c r="K227" s="22"/>
    </row>
    <row r="228">
      <c r="A228" s="16"/>
      <c r="B228" s="16"/>
      <c r="J228" s="21"/>
      <c r="K228" s="22"/>
    </row>
    <row r="229">
      <c r="A229" s="16"/>
      <c r="B229" s="16"/>
      <c r="J229" s="21"/>
      <c r="K229" s="22"/>
    </row>
    <row r="230">
      <c r="A230" s="16"/>
      <c r="B230" s="16"/>
      <c r="J230" s="21"/>
      <c r="K230" s="22"/>
    </row>
    <row r="231">
      <c r="A231" s="16"/>
      <c r="B231" s="16"/>
      <c r="J231" s="21"/>
      <c r="K231" s="22"/>
    </row>
    <row r="232">
      <c r="A232" s="16"/>
      <c r="B232" s="16"/>
      <c r="J232" s="21"/>
      <c r="K232" s="22"/>
    </row>
    <row r="233">
      <c r="A233" s="16"/>
      <c r="B233" s="16"/>
      <c r="J233" s="21"/>
      <c r="K233" s="22"/>
    </row>
    <row r="234">
      <c r="A234" s="16"/>
      <c r="B234" s="16"/>
      <c r="J234" s="21"/>
      <c r="K234" s="22"/>
    </row>
    <row r="235">
      <c r="A235" s="16"/>
      <c r="B235" s="16"/>
      <c r="J235" s="21"/>
      <c r="K235" s="22"/>
    </row>
    <row r="236">
      <c r="A236" s="16"/>
      <c r="B236" s="16"/>
      <c r="J236" s="21"/>
      <c r="K236" s="22"/>
    </row>
    <row r="237">
      <c r="A237" s="16"/>
      <c r="B237" s="16"/>
      <c r="J237" s="21"/>
      <c r="K237" s="22"/>
    </row>
    <row r="238">
      <c r="A238" s="16"/>
      <c r="B238" s="16"/>
      <c r="J238" s="21"/>
      <c r="K238" s="22"/>
    </row>
    <row r="239">
      <c r="A239" s="16"/>
      <c r="B239" s="16"/>
      <c r="J239" s="21"/>
      <c r="K239" s="22"/>
    </row>
    <row r="240">
      <c r="A240" s="16"/>
      <c r="B240" s="16"/>
      <c r="J240" s="21"/>
      <c r="K240" s="22"/>
    </row>
    <row r="241">
      <c r="A241" s="16"/>
      <c r="B241" s="16"/>
      <c r="J241" s="21"/>
      <c r="K241" s="22"/>
    </row>
    <row r="242">
      <c r="A242" s="16"/>
      <c r="B242" s="16"/>
      <c r="J242" s="21"/>
      <c r="K242" s="22"/>
    </row>
    <row r="243">
      <c r="A243" s="16"/>
      <c r="B243" s="16"/>
      <c r="J243" s="21"/>
      <c r="K243" s="22"/>
    </row>
    <row r="244">
      <c r="A244" s="16"/>
      <c r="B244" s="16"/>
      <c r="J244" s="21"/>
      <c r="K244" s="22"/>
    </row>
    <row r="245">
      <c r="A245" s="23"/>
      <c r="B245" s="23"/>
      <c r="J245" s="21"/>
      <c r="K245" s="22"/>
    </row>
    <row r="246">
      <c r="A246" s="23"/>
      <c r="B246" s="23"/>
      <c r="J246" s="21"/>
      <c r="K246" s="22"/>
    </row>
    <row r="247">
      <c r="A247" s="23"/>
      <c r="B247" s="23"/>
      <c r="J247" s="21"/>
      <c r="K247" s="22"/>
    </row>
    <row r="248">
      <c r="A248" s="23"/>
      <c r="B248" s="23"/>
      <c r="J248" s="21"/>
      <c r="K248" s="22"/>
    </row>
    <row r="249">
      <c r="A249" s="23"/>
      <c r="B249" s="23"/>
      <c r="J249" s="21"/>
      <c r="K249" s="22"/>
    </row>
    <row r="250">
      <c r="A250" s="23"/>
      <c r="B250" s="23"/>
      <c r="J250" s="21"/>
      <c r="K250" s="22"/>
    </row>
    <row r="251">
      <c r="A251" s="23"/>
      <c r="B251" s="23"/>
      <c r="J251" s="21"/>
      <c r="K251" s="22"/>
    </row>
    <row r="252">
      <c r="A252" s="23"/>
      <c r="B252" s="23"/>
      <c r="J252" s="21"/>
      <c r="K252" s="22"/>
    </row>
    <row r="253">
      <c r="A253" s="23"/>
      <c r="B253" s="23"/>
      <c r="J253" s="21"/>
      <c r="K253" s="22"/>
    </row>
    <row r="254">
      <c r="A254" s="23"/>
      <c r="B254" s="23"/>
      <c r="J254" s="21"/>
      <c r="K254" s="22"/>
    </row>
    <row r="255">
      <c r="A255" s="23"/>
      <c r="B255" s="23"/>
      <c r="J255" s="21"/>
      <c r="K255" s="22"/>
    </row>
    <row r="256">
      <c r="A256" s="23"/>
      <c r="B256" s="23"/>
      <c r="J256" s="21"/>
      <c r="K256" s="22"/>
    </row>
    <row r="257">
      <c r="A257" s="23"/>
      <c r="B257" s="23"/>
      <c r="J257" s="21"/>
      <c r="K257" s="22"/>
    </row>
    <row r="258">
      <c r="A258" s="23"/>
      <c r="B258" s="23"/>
      <c r="J258" s="21"/>
      <c r="K258" s="22"/>
    </row>
    <row r="259">
      <c r="A259" s="23"/>
      <c r="B259" s="23"/>
      <c r="J259" s="21"/>
      <c r="K259" s="22"/>
    </row>
    <row r="260">
      <c r="A260" s="23"/>
      <c r="B260" s="23"/>
      <c r="J260" s="21"/>
    </row>
    <row r="261">
      <c r="A261" s="23"/>
      <c r="B261" s="23"/>
      <c r="J261" s="21"/>
    </row>
    <row r="262">
      <c r="A262" s="23"/>
      <c r="B262" s="23"/>
      <c r="J262" s="21"/>
    </row>
    <row r="263">
      <c r="A263" s="23"/>
      <c r="B263" s="23"/>
      <c r="J263" s="21"/>
    </row>
    <row r="264">
      <c r="A264" s="23"/>
      <c r="B264" s="23"/>
      <c r="J264" s="21"/>
    </row>
    <row r="265">
      <c r="A265" s="23"/>
      <c r="B265" s="23"/>
      <c r="J265" s="21"/>
    </row>
    <row r="266">
      <c r="A266" s="23"/>
      <c r="B266" s="23"/>
      <c r="J266" s="21"/>
    </row>
    <row r="267">
      <c r="A267" s="23"/>
      <c r="B267" s="23"/>
      <c r="J267" s="21"/>
    </row>
    <row r="268">
      <c r="A268" s="23"/>
      <c r="B268" s="23"/>
      <c r="J268" s="21"/>
    </row>
    <row r="269">
      <c r="A269" s="23"/>
      <c r="B269" s="23"/>
      <c r="J269" s="21"/>
    </row>
    <row r="270">
      <c r="A270" s="23"/>
      <c r="B270" s="23"/>
      <c r="J270" s="21"/>
    </row>
    <row r="271">
      <c r="A271" s="23"/>
      <c r="B271" s="23"/>
      <c r="J271" s="21"/>
    </row>
    <row r="272">
      <c r="A272" s="23"/>
      <c r="B272" s="23"/>
      <c r="J272" s="21"/>
    </row>
    <row r="273">
      <c r="A273" s="23"/>
      <c r="B273" s="23"/>
      <c r="J273" s="21"/>
    </row>
    <row r="274">
      <c r="A274" s="23"/>
      <c r="B274" s="23"/>
      <c r="J274" s="21"/>
    </row>
    <row r="275">
      <c r="A275" s="23"/>
      <c r="B275" s="23"/>
      <c r="J275" s="21"/>
    </row>
    <row r="276">
      <c r="A276" s="23"/>
      <c r="B276" s="23"/>
      <c r="J276" s="21"/>
    </row>
    <row r="277">
      <c r="A277" s="23"/>
      <c r="B277" s="23"/>
      <c r="J277" s="21"/>
    </row>
    <row r="278">
      <c r="A278" s="23"/>
      <c r="B278" s="23"/>
      <c r="J278" s="21"/>
    </row>
    <row r="279">
      <c r="A279" s="23"/>
      <c r="B279" s="23"/>
      <c r="J279" s="21"/>
    </row>
    <row r="280">
      <c r="A280" s="23"/>
      <c r="B280" s="23"/>
      <c r="J280" s="21"/>
    </row>
    <row r="281">
      <c r="A281" s="23"/>
      <c r="B281" s="23"/>
      <c r="J281" s="21"/>
    </row>
    <row r="282">
      <c r="A282" s="23"/>
      <c r="B282" s="23"/>
      <c r="J282" s="21"/>
    </row>
    <row r="283">
      <c r="A283" s="23"/>
      <c r="B283" s="23"/>
      <c r="J283" s="21"/>
    </row>
    <row r="284">
      <c r="A284" s="23"/>
      <c r="B284" s="23"/>
      <c r="J284" s="21"/>
    </row>
    <row r="285">
      <c r="A285" s="23"/>
      <c r="B285" s="23"/>
      <c r="J285" s="21"/>
    </row>
    <row r="286">
      <c r="A286" s="23"/>
      <c r="B286" s="23"/>
      <c r="J286" s="21"/>
    </row>
    <row r="287">
      <c r="A287" s="23"/>
      <c r="B287" s="23"/>
      <c r="J287" s="21"/>
    </row>
    <row r="288">
      <c r="A288" s="23"/>
      <c r="B288" s="23"/>
      <c r="J288" s="21"/>
    </row>
    <row r="289">
      <c r="A289" s="23"/>
      <c r="B289" s="23"/>
      <c r="J289" s="21"/>
    </row>
    <row r="290">
      <c r="A290" s="23"/>
      <c r="B290" s="23"/>
      <c r="J290" s="21"/>
    </row>
    <row r="291">
      <c r="A291" s="23"/>
      <c r="B291" s="23"/>
      <c r="J291" s="21"/>
    </row>
    <row r="292">
      <c r="A292" s="23"/>
      <c r="B292" s="23"/>
      <c r="J292" s="21"/>
    </row>
    <row r="293">
      <c r="A293" s="23"/>
      <c r="B293" s="23"/>
      <c r="J293" s="21"/>
    </row>
    <row r="294">
      <c r="A294" s="23"/>
      <c r="B294" s="23"/>
      <c r="J294" s="21"/>
    </row>
    <row r="295">
      <c r="A295" s="23"/>
      <c r="B295" s="23"/>
      <c r="J295" s="21"/>
    </row>
    <row r="296">
      <c r="A296" s="23"/>
      <c r="B296" s="23"/>
      <c r="J296" s="21"/>
    </row>
    <row r="297">
      <c r="A297" s="23"/>
      <c r="B297" s="23"/>
      <c r="J297" s="21"/>
    </row>
    <row r="298">
      <c r="A298" s="23"/>
      <c r="B298" s="23"/>
      <c r="J298" s="21"/>
    </row>
    <row r="299">
      <c r="A299" s="23"/>
      <c r="B299" s="23"/>
      <c r="J299" s="21"/>
    </row>
    <row r="300">
      <c r="A300" s="23"/>
      <c r="B300" s="23"/>
      <c r="J300" s="21"/>
    </row>
    <row r="301">
      <c r="A301" s="23"/>
      <c r="B301" s="23"/>
      <c r="J301" s="21"/>
    </row>
    <row r="302">
      <c r="A302" s="23"/>
      <c r="B302" s="23"/>
      <c r="J302" s="21"/>
    </row>
    <row r="303">
      <c r="A303" s="23"/>
      <c r="B303" s="23"/>
      <c r="J303" s="21"/>
    </row>
    <row r="304">
      <c r="A304" s="23"/>
      <c r="B304" s="23"/>
      <c r="J304" s="21"/>
    </row>
    <row r="305">
      <c r="A305" s="23"/>
      <c r="B305" s="23"/>
      <c r="J305" s="21"/>
    </row>
    <row r="306">
      <c r="A306" s="23"/>
      <c r="B306" s="23"/>
      <c r="J306" s="21"/>
    </row>
    <row r="307">
      <c r="A307" s="23"/>
      <c r="B307" s="23"/>
      <c r="J307" s="21"/>
    </row>
    <row r="308">
      <c r="A308" s="23"/>
      <c r="B308" s="23"/>
      <c r="J308" s="21"/>
    </row>
    <row r="309">
      <c r="A309" s="23"/>
      <c r="B309" s="23"/>
      <c r="J309" s="21"/>
    </row>
    <row r="310">
      <c r="A310" s="23"/>
      <c r="B310" s="23"/>
      <c r="J310" s="21"/>
    </row>
    <row r="311">
      <c r="A311" s="23"/>
      <c r="B311" s="23"/>
      <c r="J311" s="21"/>
    </row>
    <row r="312">
      <c r="A312" s="23"/>
      <c r="B312" s="23"/>
      <c r="J312" s="21"/>
    </row>
    <row r="313">
      <c r="A313" s="23"/>
      <c r="B313" s="23"/>
      <c r="J313" s="21"/>
    </row>
    <row r="314">
      <c r="A314" s="23"/>
      <c r="B314" s="23"/>
      <c r="J314" s="21"/>
    </row>
    <row r="315">
      <c r="A315" s="23"/>
      <c r="B315" s="23"/>
      <c r="J315" s="21"/>
    </row>
    <row r="316">
      <c r="A316" s="23"/>
      <c r="B316" s="23"/>
      <c r="J316" s="21"/>
    </row>
    <row r="317">
      <c r="A317" s="23"/>
      <c r="B317" s="23"/>
      <c r="J317" s="21"/>
    </row>
    <row r="318">
      <c r="A318" s="23"/>
      <c r="B318" s="23"/>
      <c r="J318" s="21"/>
    </row>
    <row r="319">
      <c r="A319" s="23"/>
      <c r="B319" s="23"/>
      <c r="J319" s="21"/>
    </row>
    <row r="320">
      <c r="A320" s="23"/>
      <c r="B320" s="23"/>
      <c r="J320" s="21"/>
    </row>
    <row r="321">
      <c r="A321" s="23"/>
      <c r="B321" s="23"/>
      <c r="J321" s="21"/>
    </row>
    <row r="322">
      <c r="A322" s="23"/>
      <c r="B322" s="23"/>
      <c r="J322" s="21"/>
    </row>
    <row r="323">
      <c r="A323" s="23"/>
      <c r="B323" s="23"/>
      <c r="J323" s="21"/>
    </row>
    <row r="324">
      <c r="A324" s="23"/>
      <c r="B324" s="23"/>
      <c r="J324" s="21"/>
    </row>
    <row r="325">
      <c r="A325" s="23"/>
      <c r="B325" s="23"/>
      <c r="G325" s="24"/>
      <c r="J325" s="25"/>
    </row>
    <row r="326">
      <c r="A326" s="23"/>
      <c r="B326" s="23"/>
      <c r="G326" s="24"/>
      <c r="J326" s="25"/>
    </row>
    <row r="327">
      <c r="A327" s="23"/>
      <c r="B327" s="23"/>
      <c r="G327" s="24"/>
      <c r="J327" s="25"/>
    </row>
    <row r="328">
      <c r="A328" s="23"/>
      <c r="B328" s="23"/>
      <c r="G328" s="24"/>
      <c r="J328" s="25"/>
    </row>
    <row r="329">
      <c r="A329" s="23"/>
      <c r="B329" s="23"/>
      <c r="G329" s="24"/>
      <c r="J329" s="25"/>
    </row>
    <row r="330">
      <c r="A330" s="23"/>
      <c r="B330" s="23"/>
      <c r="G330" s="24"/>
      <c r="J330" s="25"/>
    </row>
    <row r="331">
      <c r="A331" s="23"/>
      <c r="B331" s="23"/>
      <c r="G331" s="24"/>
      <c r="J331" s="25"/>
    </row>
    <row r="332">
      <c r="A332" s="23"/>
      <c r="B332" s="23"/>
      <c r="G332" s="24"/>
      <c r="J332" s="25"/>
    </row>
    <row r="333">
      <c r="A333" s="23"/>
      <c r="B333" s="23"/>
      <c r="G333" s="24"/>
      <c r="J333" s="25"/>
    </row>
    <row r="334">
      <c r="A334" s="23"/>
      <c r="B334" s="23"/>
      <c r="G334" s="24"/>
      <c r="J334" s="25"/>
    </row>
    <row r="335">
      <c r="A335" s="23"/>
      <c r="B335" s="23"/>
      <c r="G335" s="24"/>
      <c r="J335" s="25"/>
    </row>
    <row r="336">
      <c r="A336" s="23"/>
      <c r="B336" s="23"/>
      <c r="G336" s="24"/>
      <c r="J336" s="25"/>
    </row>
    <row r="337">
      <c r="A337" s="23"/>
      <c r="B337" s="23"/>
      <c r="G337" s="24"/>
      <c r="J337" s="25"/>
    </row>
    <row r="338">
      <c r="A338" s="23"/>
      <c r="B338" s="23"/>
      <c r="G338" s="24"/>
      <c r="J338" s="25"/>
    </row>
    <row r="339">
      <c r="A339" s="23"/>
      <c r="B339" s="23"/>
      <c r="G339" s="24"/>
      <c r="J339" s="25"/>
    </row>
    <row r="340">
      <c r="A340" s="23"/>
      <c r="B340" s="23"/>
      <c r="G340" s="24"/>
      <c r="J340" s="25"/>
    </row>
    <row r="341">
      <c r="A341" s="23"/>
      <c r="B341" s="23"/>
      <c r="G341" s="24"/>
      <c r="J341" s="25"/>
    </row>
    <row r="342">
      <c r="A342" s="23"/>
      <c r="B342" s="23"/>
      <c r="G342" s="24"/>
      <c r="J342" s="25"/>
    </row>
    <row r="343">
      <c r="A343" s="23"/>
      <c r="B343" s="23"/>
      <c r="G343" s="24"/>
      <c r="J343" s="25"/>
    </row>
    <row r="344">
      <c r="A344" s="23"/>
      <c r="B344" s="23"/>
      <c r="G344" s="24"/>
      <c r="J344" s="25"/>
    </row>
    <row r="345">
      <c r="A345" s="23"/>
      <c r="B345" s="23"/>
      <c r="G345" s="24"/>
      <c r="J345" s="25"/>
    </row>
    <row r="346">
      <c r="A346" s="23"/>
      <c r="B346" s="23"/>
      <c r="G346" s="24"/>
      <c r="J346" s="25"/>
    </row>
    <row r="347">
      <c r="A347" s="23"/>
      <c r="B347" s="23"/>
      <c r="G347" s="24"/>
      <c r="J347" s="25"/>
    </row>
    <row r="348">
      <c r="A348" s="23"/>
      <c r="B348" s="23"/>
      <c r="G348" s="24"/>
      <c r="J348" s="25"/>
    </row>
    <row r="349">
      <c r="A349" s="23"/>
      <c r="B349" s="23"/>
      <c r="G349" s="24"/>
      <c r="J349" s="25"/>
    </row>
    <row r="350">
      <c r="A350" s="23"/>
      <c r="B350" s="23"/>
      <c r="G350" s="24"/>
      <c r="J350" s="25"/>
    </row>
    <row r="351">
      <c r="A351" s="23"/>
      <c r="B351" s="23"/>
      <c r="G351" s="24"/>
      <c r="J351" s="25"/>
    </row>
    <row r="352">
      <c r="A352" s="23"/>
      <c r="B352" s="23"/>
      <c r="G352" s="24"/>
      <c r="J352" s="25"/>
    </row>
    <row r="353">
      <c r="A353" s="23"/>
      <c r="B353" s="23"/>
      <c r="G353" s="24"/>
      <c r="J353" s="25"/>
    </row>
    <row r="354">
      <c r="A354" s="23"/>
      <c r="B354" s="23"/>
      <c r="G354" s="24"/>
      <c r="J354" s="25"/>
    </row>
    <row r="355">
      <c r="A355" s="23"/>
      <c r="B355" s="23"/>
      <c r="G355" s="24"/>
      <c r="J355" s="25"/>
    </row>
    <row r="356">
      <c r="A356" s="23"/>
      <c r="B356" s="23"/>
      <c r="G356" s="24"/>
      <c r="J356" s="25"/>
    </row>
    <row r="357">
      <c r="A357" s="23"/>
      <c r="B357" s="23"/>
      <c r="G357" s="24"/>
      <c r="J357" s="25"/>
    </row>
    <row r="358">
      <c r="A358" s="23"/>
      <c r="B358" s="23"/>
      <c r="G358" s="24"/>
      <c r="J358" s="25"/>
    </row>
    <row r="359">
      <c r="A359" s="23"/>
      <c r="B359" s="23"/>
      <c r="G359" s="24"/>
      <c r="J359" s="25"/>
    </row>
    <row r="360">
      <c r="A360" s="23"/>
      <c r="B360" s="23"/>
      <c r="G360" s="24"/>
      <c r="J360" s="25"/>
    </row>
    <row r="361">
      <c r="A361" s="23"/>
      <c r="B361" s="23"/>
      <c r="G361" s="24"/>
      <c r="J361" s="25"/>
    </row>
    <row r="362">
      <c r="A362" s="23"/>
      <c r="B362" s="23"/>
      <c r="G362" s="24"/>
      <c r="J362" s="25"/>
    </row>
    <row r="363">
      <c r="A363" s="23"/>
      <c r="B363" s="23"/>
      <c r="G363" s="24"/>
      <c r="J363" s="25"/>
    </row>
    <row r="364">
      <c r="A364" s="23"/>
      <c r="B364" s="23"/>
      <c r="G364" s="24"/>
      <c r="J364" s="25"/>
    </row>
    <row r="365">
      <c r="A365" s="23"/>
      <c r="B365" s="23"/>
      <c r="G365" s="24"/>
      <c r="J365" s="25"/>
    </row>
    <row r="366">
      <c r="A366" s="23"/>
      <c r="B366" s="23"/>
      <c r="G366" s="24"/>
      <c r="J366" s="25"/>
    </row>
    <row r="367">
      <c r="A367" s="23"/>
      <c r="B367" s="23"/>
      <c r="G367" s="24"/>
      <c r="J367" s="25"/>
    </row>
    <row r="368">
      <c r="A368" s="23"/>
      <c r="B368" s="23"/>
      <c r="G368" s="24"/>
      <c r="J368" s="25"/>
    </row>
    <row r="369">
      <c r="A369" s="23"/>
      <c r="B369" s="23"/>
      <c r="G369" s="24"/>
      <c r="J369" s="25"/>
    </row>
    <row r="370">
      <c r="A370" s="23"/>
      <c r="B370" s="23"/>
      <c r="G370" s="24"/>
      <c r="J370" s="25"/>
    </row>
    <row r="371">
      <c r="A371" s="23"/>
      <c r="B371" s="23"/>
      <c r="G371" s="24"/>
      <c r="J371" s="25"/>
    </row>
    <row r="372">
      <c r="A372" s="23"/>
      <c r="B372" s="23"/>
      <c r="G372" s="24"/>
      <c r="J372" s="25"/>
    </row>
    <row r="373">
      <c r="A373" s="23"/>
      <c r="B373" s="23"/>
      <c r="G373" s="24"/>
      <c r="J373" s="25"/>
    </row>
    <row r="374">
      <c r="A374" s="23"/>
      <c r="B374" s="23"/>
      <c r="G374" s="24"/>
      <c r="J374" s="25"/>
    </row>
    <row r="375">
      <c r="A375" s="23"/>
      <c r="B375" s="23"/>
      <c r="G375" s="24"/>
      <c r="J375" s="25"/>
    </row>
    <row r="376">
      <c r="A376" s="23"/>
      <c r="B376" s="23"/>
      <c r="G376" s="24"/>
      <c r="J376" s="25"/>
    </row>
    <row r="377">
      <c r="A377" s="23"/>
      <c r="B377" s="23"/>
      <c r="G377" s="24"/>
      <c r="J377" s="25"/>
    </row>
    <row r="378">
      <c r="A378" s="23"/>
      <c r="B378" s="23"/>
      <c r="G378" s="24"/>
      <c r="J378" s="25"/>
    </row>
    <row r="379">
      <c r="A379" s="23"/>
      <c r="B379" s="23"/>
      <c r="G379" s="24"/>
      <c r="J379" s="25"/>
    </row>
    <row r="380">
      <c r="A380" s="23"/>
      <c r="B380" s="23"/>
      <c r="G380" s="24"/>
      <c r="J380" s="25"/>
    </row>
    <row r="381">
      <c r="A381" s="23"/>
      <c r="B381" s="23"/>
      <c r="G381" s="24"/>
      <c r="J381" s="25"/>
    </row>
    <row r="382">
      <c r="A382" s="23"/>
      <c r="B382" s="23"/>
      <c r="G382" s="24"/>
      <c r="J382" s="25"/>
    </row>
    <row r="383">
      <c r="A383" s="23"/>
      <c r="B383" s="23"/>
      <c r="G383" s="24"/>
      <c r="J383" s="25"/>
    </row>
    <row r="384">
      <c r="A384" s="23"/>
      <c r="B384" s="23"/>
      <c r="G384" s="24"/>
      <c r="J384" s="25"/>
    </row>
    <row r="385">
      <c r="A385" s="23"/>
      <c r="B385" s="23"/>
      <c r="G385" s="24"/>
      <c r="J385" s="25"/>
    </row>
    <row r="386">
      <c r="A386" s="23"/>
      <c r="B386" s="23"/>
      <c r="G386" s="24"/>
      <c r="J386" s="25"/>
    </row>
    <row r="387">
      <c r="A387" s="23"/>
      <c r="B387" s="23"/>
      <c r="G387" s="24"/>
      <c r="J387" s="25"/>
    </row>
    <row r="388">
      <c r="A388" s="23"/>
      <c r="B388" s="23"/>
      <c r="G388" s="24"/>
      <c r="J388" s="25"/>
    </row>
    <row r="389">
      <c r="A389" s="23"/>
      <c r="B389" s="23"/>
      <c r="G389" s="24"/>
      <c r="J389" s="25"/>
    </row>
    <row r="390">
      <c r="A390" s="23"/>
      <c r="B390" s="23"/>
      <c r="G390" s="24"/>
      <c r="J390" s="25"/>
    </row>
    <row r="391">
      <c r="A391" s="23"/>
      <c r="B391" s="23"/>
      <c r="G391" s="24"/>
      <c r="J391" s="25"/>
    </row>
    <row r="392">
      <c r="A392" s="23"/>
      <c r="B392" s="23"/>
      <c r="G392" s="24"/>
      <c r="J392" s="25"/>
    </row>
    <row r="393">
      <c r="A393" s="23"/>
      <c r="B393" s="23"/>
      <c r="G393" s="24"/>
      <c r="J393" s="25"/>
    </row>
    <row r="394">
      <c r="A394" s="23"/>
      <c r="B394" s="23"/>
      <c r="G394" s="24"/>
      <c r="J394" s="25"/>
    </row>
    <row r="395">
      <c r="A395" s="23"/>
      <c r="B395" s="23"/>
      <c r="G395" s="24"/>
      <c r="J395" s="25"/>
    </row>
    <row r="396">
      <c r="A396" s="23"/>
      <c r="B396" s="23"/>
      <c r="G396" s="24"/>
      <c r="J396" s="25"/>
    </row>
    <row r="397">
      <c r="A397" s="23"/>
      <c r="B397" s="23"/>
      <c r="G397" s="24"/>
      <c r="J397" s="25"/>
    </row>
    <row r="398">
      <c r="A398" s="23"/>
      <c r="B398" s="23"/>
      <c r="G398" s="24"/>
      <c r="J398" s="25"/>
    </row>
    <row r="399">
      <c r="A399" s="23"/>
      <c r="B399" s="23"/>
      <c r="G399" s="24"/>
      <c r="J399" s="25"/>
    </row>
    <row r="400">
      <c r="A400" s="23"/>
      <c r="B400" s="23"/>
      <c r="G400" s="24"/>
      <c r="J400" s="25"/>
    </row>
    <row r="401">
      <c r="A401" s="23"/>
      <c r="B401" s="23"/>
      <c r="G401" s="24"/>
      <c r="J401" s="25"/>
    </row>
    <row r="402">
      <c r="A402" s="23"/>
      <c r="B402" s="23"/>
      <c r="G402" s="24"/>
      <c r="J402" s="25"/>
    </row>
    <row r="403">
      <c r="A403" s="23"/>
      <c r="B403" s="23"/>
      <c r="G403" s="24"/>
      <c r="J403" s="25"/>
    </row>
    <row r="404">
      <c r="A404" s="23"/>
      <c r="B404" s="23"/>
      <c r="G404" s="24"/>
      <c r="J404" s="25"/>
    </row>
    <row r="405">
      <c r="A405" s="23"/>
      <c r="B405" s="23"/>
      <c r="G405" s="24"/>
      <c r="J405" s="25"/>
    </row>
    <row r="406">
      <c r="A406" s="23"/>
      <c r="B406" s="23"/>
      <c r="G406" s="24"/>
      <c r="J406" s="25"/>
    </row>
    <row r="407">
      <c r="A407" s="23"/>
      <c r="B407" s="23"/>
      <c r="G407" s="24"/>
      <c r="J407" s="25"/>
    </row>
    <row r="408">
      <c r="A408" s="23"/>
      <c r="B408" s="23"/>
      <c r="G408" s="24"/>
      <c r="J408" s="25"/>
    </row>
    <row r="409">
      <c r="A409" s="23"/>
      <c r="B409" s="23"/>
      <c r="G409" s="24"/>
      <c r="J409" s="25"/>
    </row>
    <row r="410">
      <c r="A410" s="23"/>
      <c r="B410" s="23"/>
      <c r="G410" s="24"/>
      <c r="J410" s="25"/>
    </row>
    <row r="411">
      <c r="A411" s="23"/>
      <c r="B411" s="23"/>
      <c r="G411" s="24"/>
      <c r="J411" s="25"/>
    </row>
    <row r="412">
      <c r="A412" s="23"/>
      <c r="B412" s="23"/>
      <c r="G412" s="24"/>
      <c r="J412" s="25"/>
    </row>
    <row r="413">
      <c r="A413" s="23"/>
      <c r="B413" s="23"/>
      <c r="G413" s="24"/>
      <c r="J413" s="25"/>
    </row>
    <row r="414">
      <c r="A414" s="23"/>
      <c r="B414" s="23"/>
      <c r="G414" s="24"/>
      <c r="J414" s="25"/>
    </row>
    <row r="415">
      <c r="A415" s="23"/>
      <c r="B415" s="23"/>
      <c r="G415" s="24"/>
      <c r="J415" s="25"/>
    </row>
    <row r="416">
      <c r="A416" s="23"/>
      <c r="B416" s="23"/>
      <c r="G416" s="24"/>
      <c r="J416" s="25"/>
    </row>
    <row r="417">
      <c r="A417" s="23"/>
      <c r="B417" s="23"/>
      <c r="G417" s="24"/>
      <c r="J417" s="25"/>
    </row>
    <row r="418">
      <c r="A418" s="23"/>
      <c r="B418" s="23"/>
      <c r="G418" s="24"/>
      <c r="J418" s="25"/>
    </row>
    <row r="419">
      <c r="A419" s="23"/>
      <c r="B419" s="23"/>
      <c r="G419" s="24"/>
      <c r="J419" s="25"/>
    </row>
    <row r="420">
      <c r="A420" s="23"/>
      <c r="B420" s="23"/>
      <c r="G420" s="24"/>
      <c r="J420" s="25"/>
    </row>
    <row r="421">
      <c r="A421" s="23"/>
      <c r="B421" s="23"/>
      <c r="G421" s="24"/>
      <c r="J421" s="25"/>
    </row>
    <row r="422">
      <c r="A422" s="23"/>
      <c r="B422" s="23"/>
      <c r="G422" s="24"/>
      <c r="J422" s="25"/>
    </row>
    <row r="423">
      <c r="A423" s="23"/>
      <c r="B423" s="23"/>
      <c r="G423" s="24"/>
      <c r="J423" s="25"/>
    </row>
    <row r="424">
      <c r="A424" s="23"/>
      <c r="B424" s="23"/>
      <c r="G424" s="24"/>
      <c r="J424" s="25"/>
    </row>
    <row r="425">
      <c r="A425" s="23"/>
      <c r="B425" s="23"/>
      <c r="G425" s="24"/>
      <c r="J425" s="25"/>
    </row>
    <row r="426">
      <c r="A426" s="23"/>
      <c r="B426" s="23"/>
      <c r="G426" s="24"/>
      <c r="J426" s="25"/>
    </row>
    <row r="427">
      <c r="A427" s="23"/>
      <c r="B427" s="23"/>
      <c r="G427" s="24"/>
      <c r="J427" s="25"/>
    </row>
    <row r="428">
      <c r="A428" s="23"/>
      <c r="B428" s="23"/>
      <c r="G428" s="24"/>
      <c r="J428" s="25"/>
    </row>
    <row r="429">
      <c r="A429" s="23"/>
      <c r="B429" s="23"/>
      <c r="G429" s="24"/>
      <c r="J429" s="25"/>
    </row>
    <row r="430">
      <c r="A430" s="23"/>
      <c r="B430" s="23"/>
      <c r="G430" s="24"/>
      <c r="J430" s="25"/>
    </row>
    <row r="431">
      <c r="A431" s="23"/>
      <c r="B431" s="23"/>
      <c r="G431" s="24"/>
      <c r="J431" s="25"/>
    </row>
    <row r="432">
      <c r="A432" s="23"/>
      <c r="B432" s="23"/>
      <c r="G432" s="24"/>
      <c r="J432" s="25"/>
    </row>
    <row r="433">
      <c r="A433" s="23"/>
      <c r="B433" s="23"/>
      <c r="G433" s="24"/>
      <c r="J433" s="25"/>
    </row>
    <row r="434">
      <c r="A434" s="23"/>
      <c r="B434" s="23"/>
      <c r="G434" s="24"/>
      <c r="J434" s="25"/>
    </row>
    <row r="435">
      <c r="A435" s="23"/>
      <c r="B435" s="23"/>
      <c r="G435" s="24"/>
      <c r="J435" s="25"/>
    </row>
    <row r="436">
      <c r="A436" s="23"/>
      <c r="B436" s="23"/>
      <c r="G436" s="24"/>
      <c r="J436" s="25"/>
    </row>
    <row r="437">
      <c r="A437" s="23"/>
      <c r="B437" s="23"/>
      <c r="G437" s="24"/>
      <c r="J437" s="25"/>
    </row>
    <row r="438">
      <c r="A438" s="23"/>
      <c r="B438" s="23"/>
      <c r="G438" s="24"/>
      <c r="J438" s="25"/>
    </row>
    <row r="439">
      <c r="A439" s="23"/>
      <c r="B439" s="23"/>
      <c r="G439" s="24"/>
      <c r="J439" s="25"/>
    </row>
    <row r="440">
      <c r="A440" s="23"/>
      <c r="B440" s="23"/>
      <c r="G440" s="24"/>
      <c r="J440" s="25"/>
    </row>
    <row r="441">
      <c r="A441" s="23"/>
      <c r="B441" s="23"/>
      <c r="G441" s="24"/>
      <c r="J441" s="25"/>
    </row>
    <row r="442">
      <c r="A442" s="23"/>
      <c r="B442" s="23"/>
      <c r="G442" s="24"/>
      <c r="J442" s="25"/>
    </row>
    <row r="443">
      <c r="A443" s="23"/>
      <c r="B443" s="23"/>
      <c r="G443" s="24"/>
      <c r="J443" s="25"/>
    </row>
    <row r="444">
      <c r="A444" s="23"/>
      <c r="B444" s="23"/>
      <c r="G444" s="24"/>
      <c r="J444" s="25"/>
    </row>
    <row r="445">
      <c r="A445" s="23"/>
      <c r="B445" s="23"/>
      <c r="G445" s="24"/>
      <c r="J445" s="25"/>
    </row>
    <row r="446">
      <c r="A446" s="23"/>
      <c r="B446" s="23"/>
      <c r="G446" s="24"/>
      <c r="J446" s="25"/>
    </row>
    <row r="447">
      <c r="A447" s="23"/>
      <c r="B447" s="23"/>
      <c r="G447" s="24"/>
      <c r="J447" s="25"/>
    </row>
    <row r="448">
      <c r="A448" s="23"/>
      <c r="B448" s="23"/>
      <c r="G448" s="24"/>
      <c r="J448" s="25"/>
    </row>
    <row r="449">
      <c r="A449" s="23"/>
      <c r="B449" s="23"/>
      <c r="G449" s="24"/>
      <c r="J449" s="25"/>
    </row>
    <row r="450">
      <c r="A450" s="23"/>
      <c r="B450" s="23"/>
      <c r="G450" s="24"/>
      <c r="J450" s="25"/>
    </row>
    <row r="451">
      <c r="A451" s="23"/>
      <c r="B451" s="23"/>
      <c r="G451" s="24"/>
      <c r="J451" s="25"/>
    </row>
    <row r="452">
      <c r="A452" s="23"/>
      <c r="B452" s="23"/>
      <c r="G452" s="24"/>
      <c r="J452" s="25"/>
    </row>
    <row r="453">
      <c r="A453" s="23"/>
      <c r="B453" s="23"/>
      <c r="G453" s="24"/>
      <c r="J453" s="25"/>
    </row>
    <row r="454">
      <c r="A454" s="23"/>
      <c r="B454" s="23"/>
      <c r="G454" s="24"/>
      <c r="J454" s="25"/>
    </row>
    <row r="455">
      <c r="A455" s="23"/>
      <c r="B455" s="23"/>
      <c r="G455" s="24"/>
      <c r="J455" s="25"/>
    </row>
    <row r="456">
      <c r="A456" s="23"/>
      <c r="B456" s="23"/>
      <c r="G456" s="24"/>
      <c r="J456" s="25"/>
    </row>
    <row r="457">
      <c r="A457" s="23"/>
      <c r="B457" s="23"/>
      <c r="G457" s="24"/>
      <c r="J457" s="25"/>
    </row>
    <row r="458">
      <c r="A458" s="23"/>
      <c r="B458" s="23"/>
      <c r="G458" s="24"/>
      <c r="J458" s="25"/>
    </row>
    <row r="459">
      <c r="A459" s="23"/>
      <c r="B459" s="23"/>
      <c r="G459" s="24"/>
      <c r="J459" s="25"/>
    </row>
    <row r="460">
      <c r="A460" s="23"/>
      <c r="B460" s="23"/>
      <c r="G460" s="24"/>
      <c r="J460" s="25"/>
    </row>
    <row r="461">
      <c r="A461" s="23"/>
      <c r="B461" s="23"/>
      <c r="G461" s="24"/>
      <c r="J461" s="25"/>
    </row>
    <row r="462">
      <c r="A462" s="23"/>
      <c r="B462" s="23"/>
      <c r="G462" s="24"/>
      <c r="J462" s="25"/>
    </row>
    <row r="463">
      <c r="A463" s="23"/>
      <c r="B463" s="23"/>
      <c r="G463" s="24"/>
      <c r="J463" s="25"/>
    </row>
    <row r="464">
      <c r="A464" s="23"/>
      <c r="B464" s="23"/>
      <c r="G464" s="24"/>
      <c r="J464" s="25"/>
    </row>
    <row r="465">
      <c r="A465" s="23"/>
      <c r="B465" s="23"/>
      <c r="G465" s="24"/>
      <c r="J465" s="25"/>
    </row>
    <row r="466">
      <c r="A466" s="23"/>
      <c r="B466" s="23"/>
      <c r="G466" s="24"/>
      <c r="J466" s="25"/>
    </row>
    <row r="467">
      <c r="A467" s="23"/>
      <c r="B467" s="23"/>
      <c r="G467" s="24"/>
      <c r="J467" s="25"/>
    </row>
    <row r="468">
      <c r="A468" s="23"/>
      <c r="B468" s="23"/>
      <c r="G468" s="24"/>
      <c r="J468" s="25"/>
    </row>
    <row r="469">
      <c r="A469" s="23"/>
      <c r="B469" s="23"/>
      <c r="G469" s="24"/>
      <c r="J469" s="25"/>
    </row>
    <row r="470">
      <c r="A470" s="23"/>
      <c r="B470" s="23"/>
      <c r="G470" s="24"/>
      <c r="J470" s="25"/>
    </row>
    <row r="471">
      <c r="A471" s="23"/>
      <c r="B471" s="23"/>
      <c r="G471" s="24"/>
      <c r="J471" s="25"/>
    </row>
    <row r="472">
      <c r="A472" s="23"/>
      <c r="B472" s="23"/>
      <c r="G472" s="24"/>
      <c r="J472" s="25"/>
    </row>
    <row r="473">
      <c r="A473" s="23"/>
      <c r="B473" s="23"/>
      <c r="G473" s="24"/>
      <c r="J473" s="25"/>
    </row>
    <row r="474">
      <c r="A474" s="23"/>
      <c r="B474" s="23"/>
      <c r="G474" s="24"/>
      <c r="J474" s="25"/>
    </row>
    <row r="475">
      <c r="A475" s="23"/>
      <c r="B475" s="23"/>
      <c r="G475" s="24"/>
      <c r="J475" s="25"/>
    </row>
    <row r="476">
      <c r="A476" s="23"/>
      <c r="B476" s="23"/>
      <c r="G476" s="24"/>
      <c r="J476" s="25"/>
    </row>
    <row r="477">
      <c r="A477" s="23"/>
      <c r="B477" s="23"/>
      <c r="G477" s="24"/>
      <c r="J477" s="25"/>
    </row>
    <row r="478">
      <c r="A478" s="23"/>
      <c r="B478" s="23"/>
      <c r="G478" s="24"/>
      <c r="J478" s="25"/>
    </row>
    <row r="479">
      <c r="A479" s="23"/>
      <c r="B479" s="23"/>
      <c r="G479" s="24"/>
      <c r="J479" s="25"/>
    </row>
    <row r="480">
      <c r="A480" s="23"/>
      <c r="B480" s="23"/>
      <c r="G480" s="24"/>
      <c r="J480" s="25"/>
    </row>
    <row r="481">
      <c r="A481" s="23"/>
      <c r="B481" s="23"/>
      <c r="G481" s="24"/>
      <c r="J481" s="25"/>
    </row>
    <row r="482">
      <c r="A482" s="23"/>
      <c r="B482" s="23"/>
      <c r="G482" s="24"/>
      <c r="J482" s="25"/>
    </row>
    <row r="483">
      <c r="A483" s="23"/>
      <c r="B483" s="23"/>
      <c r="G483" s="24"/>
      <c r="J483" s="25"/>
    </row>
    <row r="484">
      <c r="A484" s="23"/>
      <c r="B484" s="23"/>
      <c r="G484" s="24"/>
      <c r="J484" s="25"/>
    </row>
    <row r="485">
      <c r="A485" s="23"/>
      <c r="B485" s="23"/>
      <c r="G485" s="24"/>
      <c r="J485" s="25"/>
    </row>
    <row r="486">
      <c r="A486" s="23"/>
      <c r="B486" s="23"/>
      <c r="G486" s="24"/>
      <c r="J486" s="25"/>
    </row>
    <row r="487">
      <c r="A487" s="23"/>
      <c r="B487" s="23"/>
      <c r="F487" s="14"/>
      <c r="G487" s="24"/>
      <c r="J487" s="25"/>
    </row>
    <row r="488">
      <c r="A488" s="23"/>
      <c r="B488" s="23"/>
      <c r="F488" s="14"/>
      <c r="G488" s="24"/>
      <c r="J488" s="25"/>
    </row>
    <row r="489">
      <c r="A489" s="23"/>
      <c r="B489" s="23"/>
      <c r="F489" s="14"/>
      <c r="G489" s="24"/>
      <c r="J489" s="25"/>
    </row>
    <row r="490">
      <c r="A490" s="23"/>
      <c r="B490" s="23"/>
      <c r="F490" s="14"/>
      <c r="G490" s="24"/>
      <c r="J490" s="25"/>
    </row>
    <row r="491">
      <c r="A491" s="23"/>
      <c r="B491" s="23"/>
      <c r="F491" s="14"/>
      <c r="G491" s="24"/>
      <c r="J491" s="25"/>
    </row>
    <row r="492">
      <c r="A492" s="23"/>
      <c r="B492" s="23"/>
      <c r="F492" s="14"/>
      <c r="G492" s="24"/>
      <c r="J492" s="25"/>
    </row>
    <row r="493">
      <c r="A493" s="23"/>
      <c r="B493" s="23"/>
      <c r="F493" s="14"/>
      <c r="G493" s="24"/>
      <c r="J493" s="25"/>
    </row>
    <row r="494">
      <c r="A494" s="23"/>
      <c r="B494" s="23"/>
      <c r="F494" s="14"/>
      <c r="G494" s="24"/>
      <c r="J494" s="25"/>
    </row>
    <row r="495">
      <c r="A495" s="23"/>
      <c r="B495" s="23"/>
      <c r="F495" s="14"/>
      <c r="G495" s="24"/>
      <c r="J495" s="25"/>
    </row>
    <row r="496">
      <c r="A496" s="23"/>
      <c r="B496" s="23"/>
      <c r="F496" s="14"/>
      <c r="G496" s="24"/>
      <c r="J496" s="25"/>
    </row>
    <row r="497">
      <c r="A497" s="23"/>
      <c r="B497" s="23"/>
      <c r="F497" s="14"/>
      <c r="G497" s="24"/>
      <c r="J497" s="25"/>
    </row>
    <row r="498">
      <c r="A498" s="23"/>
      <c r="B498" s="23"/>
      <c r="F498" s="14"/>
      <c r="G498" s="24"/>
      <c r="J498" s="25"/>
    </row>
    <row r="499">
      <c r="A499" s="23"/>
      <c r="B499" s="23"/>
      <c r="F499" s="14"/>
      <c r="G499" s="24"/>
      <c r="J499" s="25"/>
    </row>
    <row r="500">
      <c r="A500" s="23"/>
      <c r="B500" s="23"/>
      <c r="F500" s="14"/>
      <c r="G500" s="24"/>
      <c r="J500" s="25"/>
    </row>
    <row r="501">
      <c r="A501" s="23"/>
      <c r="B501" s="23"/>
      <c r="F501" s="14"/>
      <c r="G501" s="24"/>
      <c r="J501" s="25"/>
    </row>
    <row r="502">
      <c r="A502" s="23"/>
      <c r="B502" s="23"/>
      <c r="F502" s="14"/>
      <c r="G502" s="24"/>
      <c r="J502" s="25"/>
    </row>
    <row r="503">
      <c r="A503" s="23"/>
      <c r="B503" s="23"/>
      <c r="F503" s="14"/>
      <c r="G503" s="24"/>
      <c r="J503" s="25"/>
    </row>
    <row r="504">
      <c r="A504" s="23"/>
      <c r="B504" s="23"/>
      <c r="F504" s="14"/>
      <c r="G504" s="24"/>
      <c r="J504" s="25"/>
    </row>
    <row r="505">
      <c r="A505" s="23"/>
      <c r="B505" s="23"/>
      <c r="F505" s="14"/>
      <c r="G505" s="24"/>
      <c r="J505" s="25"/>
    </row>
    <row r="506">
      <c r="A506" s="23"/>
      <c r="B506" s="23"/>
      <c r="F506" s="14"/>
      <c r="G506" s="24"/>
      <c r="J506" s="25"/>
    </row>
    <row r="507">
      <c r="A507" s="23"/>
      <c r="B507" s="23"/>
      <c r="F507" s="14"/>
      <c r="G507" s="24"/>
      <c r="J507" s="25"/>
    </row>
    <row r="508">
      <c r="A508" s="23"/>
      <c r="B508" s="23"/>
      <c r="F508" s="14"/>
      <c r="G508" s="24"/>
      <c r="J508" s="25"/>
    </row>
    <row r="509">
      <c r="A509" s="23"/>
      <c r="B509" s="23"/>
      <c r="F509" s="14"/>
      <c r="G509" s="24"/>
      <c r="J509" s="25"/>
    </row>
    <row r="510">
      <c r="A510" s="23"/>
      <c r="B510" s="23"/>
      <c r="F510" s="14"/>
      <c r="G510" s="24"/>
      <c r="J510" s="25"/>
    </row>
    <row r="511">
      <c r="A511" s="23"/>
      <c r="B511" s="23"/>
      <c r="F511" s="14"/>
      <c r="G511" s="24"/>
      <c r="J511" s="25"/>
    </row>
    <row r="512">
      <c r="A512" s="23"/>
      <c r="B512" s="23"/>
      <c r="F512" s="14"/>
      <c r="G512" s="24"/>
      <c r="J512" s="25"/>
    </row>
    <row r="513">
      <c r="A513" s="23"/>
      <c r="B513" s="23"/>
      <c r="F513" s="14"/>
      <c r="G513" s="24"/>
      <c r="J513" s="25"/>
    </row>
    <row r="514">
      <c r="A514" s="23"/>
      <c r="B514" s="23"/>
      <c r="F514" s="14"/>
      <c r="G514" s="24"/>
      <c r="J514" s="25"/>
    </row>
    <row r="515">
      <c r="A515" s="23"/>
      <c r="B515" s="23"/>
      <c r="F515" s="14"/>
      <c r="G515" s="24"/>
      <c r="J515" s="25"/>
    </row>
    <row r="516">
      <c r="A516" s="23"/>
      <c r="B516" s="23"/>
      <c r="F516" s="14"/>
      <c r="G516" s="24"/>
      <c r="J516" s="25"/>
    </row>
    <row r="517">
      <c r="A517" s="23"/>
      <c r="B517" s="23"/>
      <c r="F517" s="14"/>
      <c r="G517" s="24"/>
      <c r="J517" s="25"/>
    </row>
    <row r="518">
      <c r="A518" s="23"/>
      <c r="B518" s="23"/>
      <c r="F518" s="14"/>
      <c r="G518" s="24"/>
      <c r="J518" s="25"/>
    </row>
    <row r="519">
      <c r="A519" s="23"/>
      <c r="B519" s="23"/>
      <c r="F519" s="14"/>
      <c r="G519" s="24"/>
      <c r="J519" s="25"/>
    </row>
    <row r="520">
      <c r="A520" s="23"/>
      <c r="B520" s="23"/>
      <c r="F520" s="14"/>
      <c r="G520" s="24"/>
      <c r="J520" s="25"/>
    </row>
    <row r="521">
      <c r="A521" s="23"/>
      <c r="B521" s="23"/>
      <c r="F521" s="14"/>
      <c r="G521" s="24"/>
      <c r="J521" s="25"/>
    </row>
    <row r="522">
      <c r="A522" s="23"/>
      <c r="B522" s="23"/>
      <c r="F522" s="14"/>
      <c r="G522" s="24"/>
      <c r="J522" s="25"/>
    </row>
    <row r="523">
      <c r="A523" s="23"/>
      <c r="B523" s="23"/>
      <c r="F523" s="14"/>
      <c r="G523" s="24"/>
      <c r="J523" s="25"/>
    </row>
    <row r="524">
      <c r="A524" s="23"/>
      <c r="B524" s="23"/>
      <c r="F524" s="14"/>
      <c r="G524" s="24"/>
      <c r="J524" s="25"/>
    </row>
    <row r="525">
      <c r="A525" s="23"/>
      <c r="B525" s="23"/>
      <c r="F525" s="14"/>
      <c r="G525" s="24"/>
      <c r="J525" s="25"/>
    </row>
    <row r="526">
      <c r="A526" s="23"/>
      <c r="B526" s="23"/>
      <c r="F526" s="14"/>
      <c r="G526" s="24"/>
      <c r="J526" s="25"/>
    </row>
    <row r="527">
      <c r="A527" s="23"/>
      <c r="B527" s="23"/>
      <c r="F527" s="14"/>
      <c r="G527" s="24"/>
      <c r="J527" s="25"/>
    </row>
    <row r="528">
      <c r="A528" s="23"/>
      <c r="B528" s="23"/>
      <c r="F528" s="14"/>
      <c r="G528" s="24"/>
      <c r="J528" s="25"/>
    </row>
    <row r="529">
      <c r="A529" s="23"/>
      <c r="B529" s="23"/>
      <c r="F529" s="14"/>
      <c r="G529" s="24"/>
      <c r="J529" s="25"/>
    </row>
    <row r="530">
      <c r="A530" s="23"/>
      <c r="B530" s="23"/>
      <c r="F530" s="14"/>
      <c r="G530" s="24"/>
      <c r="J530" s="25"/>
    </row>
    <row r="531">
      <c r="A531" s="23"/>
      <c r="B531" s="23"/>
      <c r="F531" s="14"/>
      <c r="G531" s="24"/>
      <c r="J531" s="25"/>
    </row>
    <row r="532">
      <c r="A532" s="23"/>
      <c r="B532" s="23"/>
      <c r="F532" s="14"/>
      <c r="G532" s="24"/>
      <c r="J532" s="25"/>
    </row>
    <row r="533">
      <c r="A533" s="23"/>
      <c r="B533" s="23"/>
      <c r="F533" s="14"/>
      <c r="G533" s="24"/>
      <c r="J533" s="25"/>
    </row>
    <row r="534">
      <c r="A534" s="23"/>
      <c r="B534" s="23"/>
      <c r="F534" s="14"/>
      <c r="G534" s="24"/>
      <c r="J534" s="25"/>
    </row>
    <row r="535">
      <c r="A535" s="23"/>
      <c r="B535" s="23"/>
      <c r="F535" s="14"/>
      <c r="G535" s="24"/>
      <c r="J535" s="25"/>
    </row>
    <row r="536">
      <c r="A536" s="23"/>
      <c r="B536" s="23"/>
      <c r="F536" s="14"/>
      <c r="G536" s="24"/>
      <c r="J536" s="25"/>
    </row>
    <row r="537">
      <c r="A537" s="23"/>
      <c r="B537" s="23"/>
      <c r="F537" s="14"/>
      <c r="G537" s="24"/>
      <c r="J537" s="25"/>
    </row>
    <row r="538">
      <c r="A538" s="23"/>
      <c r="B538" s="23"/>
      <c r="F538" s="14"/>
      <c r="G538" s="24"/>
      <c r="J538" s="25"/>
    </row>
    <row r="539">
      <c r="A539" s="23"/>
      <c r="B539" s="23"/>
      <c r="F539" s="14"/>
      <c r="G539" s="24"/>
      <c r="J539" s="25"/>
    </row>
    <row r="540">
      <c r="A540" s="23"/>
      <c r="B540" s="23"/>
      <c r="F540" s="14"/>
      <c r="G540" s="24"/>
      <c r="J540" s="25"/>
    </row>
    <row r="541">
      <c r="A541" s="23"/>
      <c r="B541" s="23"/>
      <c r="F541" s="14"/>
      <c r="G541" s="24"/>
      <c r="J541" s="25"/>
    </row>
    <row r="542">
      <c r="A542" s="23"/>
      <c r="B542" s="23"/>
      <c r="F542" s="14"/>
      <c r="G542" s="24"/>
      <c r="J542" s="25"/>
    </row>
    <row r="543">
      <c r="A543" s="23"/>
      <c r="B543" s="23"/>
      <c r="F543" s="14"/>
      <c r="G543" s="24"/>
      <c r="J543" s="25"/>
    </row>
    <row r="544">
      <c r="A544" s="23"/>
      <c r="B544" s="23"/>
      <c r="F544" s="14"/>
      <c r="G544" s="24"/>
      <c r="J544" s="25"/>
    </row>
    <row r="545">
      <c r="A545" s="23"/>
      <c r="B545" s="23"/>
      <c r="F545" s="14"/>
      <c r="G545" s="24"/>
      <c r="J545" s="25"/>
    </row>
    <row r="546">
      <c r="A546" s="23"/>
      <c r="B546" s="23"/>
      <c r="F546" s="14"/>
      <c r="G546" s="24"/>
      <c r="J546" s="25"/>
    </row>
    <row r="547">
      <c r="A547" s="23"/>
      <c r="B547" s="23"/>
      <c r="F547" s="14"/>
      <c r="G547" s="24"/>
      <c r="J547" s="25"/>
    </row>
    <row r="548">
      <c r="A548" s="23"/>
      <c r="B548" s="23"/>
      <c r="F548" s="14"/>
      <c r="G548" s="24"/>
      <c r="J548" s="25"/>
    </row>
    <row r="549">
      <c r="A549" s="23"/>
      <c r="B549" s="23"/>
      <c r="F549" s="14"/>
      <c r="G549" s="24"/>
      <c r="J549" s="25"/>
    </row>
    <row r="550">
      <c r="A550" s="23"/>
      <c r="B550" s="23"/>
      <c r="F550" s="14"/>
      <c r="G550" s="24"/>
      <c r="J550" s="25"/>
    </row>
    <row r="551">
      <c r="A551" s="23"/>
      <c r="B551" s="23"/>
      <c r="F551" s="14"/>
      <c r="G551" s="24"/>
      <c r="J551" s="25"/>
    </row>
    <row r="552">
      <c r="A552" s="23"/>
      <c r="B552" s="23"/>
      <c r="F552" s="14"/>
      <c r="G552" s="24"/>
      <c r="J552" s="25"/>
    </row>
    <row r="553">
      <c r="A553" s="23"/>
      <c r="B553" s="23"/>
      <c r="F553" s="14"/>
      <c r="G553" s="24"/>
      <c r="J553" s="25"/>
    </row>
    <row r="554">
      <c r="A554" s="23"/>
      <c r="B554" s="23"/>
      <c r="F554" s="14"/>
      <c r="G554" s="24"/>
      <c r="J554" s="25"/>
    </row>
    <row r="555">
      <c r="A555" s="23"/>
      <c r="B555" s="23"/>
      <c r="F555" s="14"/>
      <c r="G555" s="24"/>
      <c r="J555" s="25"/>
    </row>
    <row r="556">
      <c r="A556" s="23"/>
      <c r="B556" s="23"/>
      <c r="F556" s="14"/>
      <c r="G556" s="24"/>
      <c r="J556" s="25"/>
    </row>
    <row r="557">
      <c r="A557" s="23"/>
      <c r="B557" s="23"/>
      <c r="F557" s="14"/>
      <c r="G557" s="24"/>
      <c r="J557" s="25"/>
    </row>
    <row r="558">
      <c r="A558" s="23"/>
      <c r="B558" s="23"/>
      <c r="F558" s="14"/>
      <c r="G558" s="24"/>
      <c r="J558" s="25"/>
    </row>
    <row r="559">
      <c r="A559" s="23"/>
      <c r="B559" s="23"/>
      <c r="F559" s="14"/>
      <c r="G559" s="24"/>
      <c r="J559" s="25"/>
    </row>
    <row r="560">
      <c r="A560" s="23"/>
      <c r="B560" s="23"/>
      <c r="F560" s="14"/>
      <c r="G560" s="24"/>
      <c r="J560" s="25"/>
    </row>
    <row r="561">
      <c r="A561" s="23"/>
      <c r="B561" s="23"/>
      <c r="F561" s="14"/>
      <c r="G561" s="24"/>
      <c r="J561" s="25"/>
    </row>
    <row r="562">
      <c r="A562" s="23"/>
      <c r="B562" s="23"/>
      <c r="F562" s="14"/>
      <c r="G562" s="24"/>
      <c r="J562" s="25"/>
    </row>
    <row r="563">
      <c r="A563" s="23"/>
      <c r="B563" s="23"/>
      <c r="F563" s="14"/>
      <c r="G563" s="24"/>
      <c r="J563" s="25"/>
    </row>
    <row r="564">
      <c r="A564" s="23"/>
      <c r="B564" s="23"/>
      <c r="F564" s="14"/>
      <c r="G564" s="24"/>
      <c r="J564" s="25"/>
    </row>
    <row r="565">
      <c r="A565" s="23"/>
      <c r="B565" s="23"/>
      <c r="F565" s="14"/>
      <c r="G565" s="24"/>
      <c r="J565" s="25"/>
    </row>
    <row r="566">
      <c r="A566" s="23"/>
      <c r="B566" s="23"/>
      <c r="F566" s="14"/>
      <c r="G566" s="24"/>
      <c r="J566" s="25"/>
    </row>
    <row r="567">
      <c r="A567" s="23"/>
      <c r="B567" s="23"/>
      <c r="F567" s="14"/>
      <c r="G567" s="24"/>
      <c r="J567" s="25"/>
    </row>
    <row r="568">
      <c r="A568" s="23"/>
      <c r="B568" s="23"/>
      <c r="F568" s="14"/>
      <c r="G568" s="24"/>
      <c r="J568" s="25"/>
    </row>
    <row r="569">
      <c r="A569" s="23"/>
      <c r="B569" s="23"/>
      <c r="F569" s="14"/>
      <c r="G569" s="24"/>
      <c r="J569" s="25"/>
    </row>
    <row r="570">
      <c r="A570" s="23"/>
      <c r="B570" s="23"/>
      <c r="F570" s="14"/>
      <c r="G570" s="24"/>
      <c r="J570" s="25"/>
    </row>
    <row r="571">
      <c r="A571" s="23"/>
      <c r="B571" s="23"/>
      <c r="F571" s="14"/>
      <c r="G571" s="24"/>
      <c r="J571" s="25"/>
    </row>
    <row r="572">
      <c r="A572" s="23"/>
      <c r="B572" s="23"/>
      <c r="F572" s="14"/>
      <c r="G572" s="24"/>
      <c r="J572" s="25"/>
    </row>
    <row r="573">
      <c r="A573" s="23"/>
      <c r="B573" s="23"/>
      <c r="F573" s="14"/>
      <c r="G573" s="24"/>
      <c r="J573" s="25"/>
    </row>
    <row r="574">
      <c r="A574" s="23"/>
      <c r="B574" s="23"/>
      <c r="F574" s="14"/>
      <c r="G574" s="24"/>
      <c r="J574" s="25"/>
    </row>
    <row r="575">
      <c r="A575" s="23"/>
      <c r="B575" s="23"/>
      <c r="F575" s="14"/>
      <c r="G575" s="24"/>
      <c r="J575" s="25"/>
    </row>
    <row r="576">
      <c r="A576" s="23"/>
      <c r="B576" s="23"/>
      <c r="F576" s="14"/>
      <c r="G576" s="24"/>
      <c r="J576" s="25"/>
    </row>
    <row r="577">
      <c r="A577" s="23"/>
      <c r="B577" s="23"/>
      <c r="F577" s="14"/>
      <c r="G577" s="24"/>
      <c r="J577" s="25"/>
    </row>
    <row r="578">
      <c r="A578" s="23"/>
      <c r="B578" s="23"/>
      <c r="F578" s="14"/>
      <c r="G578" s="24"/>
      <c r="J578" s="25"/>
    </row>
    <row r="579">
      <c r="A579" s="23"/>
      <c r="B579" s="23"/>
      <c r="F579" s="14"/>
      <c r="G579" s="24"/>
      <c r="J579" s="25"/>
    </row>
    <row r="580">
      <c r="A580" s="23"/>
      <c r="B580" s="23"/>
      <c r="F580" s="14"/>
      <c r="G580" s="24"/>
      <c r="J580" s="25"/>
    </row>
    <row r="581">
      <c r="A581" s="23"/>
      <c r="B581" s="23"/>
      <c r="F581" s="14"/>
      <c r="G581" s="24"/>
      <c r="J581" s="25"/>
    </row>
    <row r="582">
      <c r="A582" s="23"/>
      <c r="B582" s="23"/>
      <c r="F582" s="14"/>
      <c r="G582" s="24"/>
      <c r="J582" s="25"/>
    </row>
    <row r="583">
      <c r="A583" s="23"/>
      <c r="B583" s="23"/>
      <c r="F583" s="14"/>
      <c r="G583" s="24"/>
      <c r="J583" s="25"/>
    </row>
    <row r="584">
      <c r="A584" s="23"/>
      <c r="B584" s="23"/>
      <c r="F584" s="14"/>
      <c r="G584" s="24"/>
      <c r="J584" s="25"/>
    </row>
    <row r="585">
      <c r="A585" s="23"/>
      <c r="B585" s="23"/>
      <c r="F585" s="14"/>
      <c r="G585" s="24"/>
      <c r="J585" s="25"/>
    </row>
    <row r="586">
      <c r="A586" s="23"/>
      <c r="B586" s="23"/>
      <c r="F586" s="14"/>
      <c r="G586" s="24"/>
      <c r="J586" s="25"/>
    </row>
    <row r="587">
      <c r="A587" s="23"/>
      <c r="B587" s="23"/>
      <c r="F587" s="14"/>
      <c r="G587" s="24"/>
      <c r="J587" s="25"/>
    </row>
    <row r="588">
      <c r="A588" s="23"/>
      <c r="B588" s="23"/>
      <c r="F588" s="14"/>
      <c r="G588" s="24"/>
      <c r="J588" s="25"/>
    </row>
    <row r="589">
      <c r="A589" s="23"/>
      <c r="B589" s="23"/>
      <c r="F589" s="14"/>
      <c r="G589" s="24"/>
      <c r="J589" s="25"/>
    </row>
    <row r="590">
      <c r="A590" s="23"/>
      <c r="B590" s="23"/>
      <c r="F590" s="14"/>
      <c r="G590" s="24"/>
      <c r="J590" s="25"/>
    </row>
    <row r="591">
      <c r="A591" s="23"/>
      <c r="B591" s="23"/>
      <c r="F591" s="14"/>
      <c r="G591" s="24"/>
      <c r="J591" s="25"/>
    </row>
    <row r="592">
      <c r="A592" s="23"/>
      <c r="B592" s="23"/>
      <c r="F592" s="14"/>
      <c r="G592" s="24"/>
      <c r="J592" s="25"/>
    </row>
    <row r="593">
      <c r="A593" s="23"/>
      <c r="B593" s="23"/>
      <c r="F593" s="14"/>
      <c r="G593" s="24"/>
      <c r="J593" s="25"/>
    </row>
    <row r="594">
      <c r="A594" s="23"/>
      <c r="B594" s="23"/>
      <c r="F594" s="14"/>
      <c r="G594" s="24"/>
      <c r="J594" s="25"/>
    </row>
    <row r="595">
      <c r="A595" s="23"/>
      <c r="B595" s="23"/>
      <c r="F595" s="14"/>
      <c r="G595" s="24"/>
      <c r="J595" s="25"/>
    </row>
    <row r="596">
      <c r="A596" s="23"/>
      <c r="B596" s="23"/>
      <c r="F596" s="14"/>
      <c r="G596" s="24"/>
      <c r="J596" s="25"/>
    </row>
    <row r="597">
      <c r="A597" s="23"/>
      <c r="B597" s="23"/>
      <c r="F597" s="14"/>
      <c r="G597" s="24"/>
      <c r="J597" s="25"/>
    </row>
    <row r="598">
      <c r="A598" s="23"/>
      <c r="B598" s="23"/>
      <c r="F598" s="14"/>
      <c r="G598" s="24"/>
      <c r="J598" s="25"/>
    </row>
    <row r="599">
      <c r="A599" s="23"/>
      <c r="B599" s="23"/>
      <c r="F599" s="14"/>
      <c r="G599" s="24"/>
      <c r="J599" s="25"/>
    </row>
    <row r="600">
      <c r="A600" s="23"/>
      <c r="B600" s="23"/>
      <c r="F600" s="14"/>
      <c r="G600" s="24"/>
      <c r="J600" s="25"/>
    </row>
    <row r="601">
      <c r="A601" s="23"/>
      <c r="B601" s="23"/>
      <c r="F601" s="14"/>
      <c r="G601" s="24"/>
      <c r="J601" s="25"/>
    </row>
    <row r="602">
      <c r="A602" s="23"/>
      <c r="B602" s="23"/>
      <c r="F602" s="14"/>
      <c r="G602" s="24"/>
      <c r="J602" s="25"/>
    </row>
    <row r="603">
      <c r="A603" s="23"/>
      <c r="B603" s="23"/>
      <c r="F603" s="14"/>
      <c r="G603" s="24"/>
      <c r="J603" s="25"/>
    </row>
    <row r="604">
      <c r="A604" s="23"/>
      <c r="B604" s="23"/>
      <c r="F604" s="14"/>
      <c r="G604" s="24"/>
      <c r="J604" s="25"/>
    </row>
    <row r="605">
      <c r="A605" s="23"/>
      <c r="B605" s="23"/>
      <c r="F605" s="14"/>
      <c r="G605" s="24"/>
      <c r="J605" s="25"/>
    </row>
    <row r="606">
      <c r="A606" s="23"/>
      <c r="B606" s="23"/>
      <c r="F606" s="14"/>
      <c r="G606" s="24"/>
      <c r="J606" s="25"/>
    </row>
    <row r="607">
      <c r="A607" s="23"/>
      <c r="B607" s="23"/>
      <c r="F607" s="14"/>
      <c r="G607" s="24"/>
      <c r="J607" s="25"/>
    </row>
    <row r="608">
      <c r="A608" s="23"/>
      <c r="B608" s="23"/>
      <c r="F608" s="14"/>
      <c r="G608" s="24"/>
      <c r="J608" s="25"/>
    </row>
    <row r="609">
      <c r="A609" s="23"/>
      <c r="B609" s="23"/>
      <c r="F609" s="14"/>
      <c r="G609" s="24"/>
      <c r="J609" s="25"/>
    </row>
    <row r="610">
      <c r="A610" s="23"/>
      <c r="B610" s="23"/>
      <c r="F610" s="14"/>
      <c r="G610" s="24"/>
      <c r="J610" s="25"/>
    </row>
    <row r="611">
      <c r="A611" s="23"/>
      <c r="B611" s="23"/>
      <c r="F611" s="14"/>
      <c r="G611" s="24"/>
      <c r="J611" s="25"/>
    </row>
    <row r="612">
      <c r="A612" s="23"/>
      <c r="B612" s="23"/>
      <c r="F612" s="14"/>
      <c r="G612" s="24"/>
      <c r="J612" s="25"/>
    </row>
    <row r="613">
      <c r="A613" s="23"/>
      <c r="B613" s="23"/>
      <c r="F613" s="14"/>
      <c r="G613" s="24"/>
      <c r="J613" s="25"/>
    </row>
    <row r="614">
      <c r="A614" s="23"/>
      <c r="B614" s="23"/>
      <c r="F614" s="14"/>
      <c r="G614" s="24"/>
      <c r="J614" s="25"/>
    </row>
    <row r="615">
      <c r="A615" s="23"/>
      <c r="B615" s="23"/>
      <c r="F615" s="14"/>
      <c r="G615" s="24"/>
      <c r="J615" s="25"/>
    </row>
    <row r="616">
      <c r="A616" s="23"/>
      <c r="B616" s="23"/>
      <c r="F616" s="14"/>
      <c r="G616" s="24"/>
      <c r="J616" s="25"/>
    </row>
    <row r="617">
      <c r="A617" s="23"/>
      <c r="B617" s="23"/>
      <c r="F617" s="14"/>
      <c r="G617" s="24"/>
      <c r="J617" s="25"/>
    </row>
    <row r="618">
      <c r="A618" s="23"/>
      <c r="B618" s="23"/>
      <c r="F618" s="14"/>
      <c r="G618" s="24"/>
      <c r="J618" s="25"/>
    </row>
    <row r="619">
      <c r="A619" s="23"/>
      <c r="B619" s="23"/>
      <c r="F619" s="14"/>
      <c r="G619" s="24"/>
      <c r="J619" s="25"/>
    </row>
    <row r="620">
      <c r="A620" s="23"/>
      <c r="B620" s="23"/>
      <c r="F620" s="14"/>
      <c r="G620" s="24"/>
      <c r="J620" s="25"/>
    </row>
    <row r="621">
      <c r="A621" s="23"/>
      <c r="B621" s="23"/>
      <c r="F621" s="14"/>
      <c r="G621" s="24"/>
      <c r="J621" s="25"/>
    </row>
    <row r="622">
      <c r="A622" s="23"/>
      <c r="B622" s="23"/>
      <c r="F622" s="14"/>
      <c r="G622" s="24"/>
      <c r="J622" s="25"/>
    </row>
    <row r="623">
      <c r="A623" s="23"/>
      <c r="B623" s="23"/>
      <c r="F623" s="14"/>
      <c r="G623" s="24"/>
      <c r="J623" s="25"/>
    </row>
    <row r="624">
      <c r="A624" s="23"/>
      <c r="B624" s="23"/>
      <c r="F624" s="14"/>
      <c r="G624" s="24"/>
      <c r="J624" s="25"/>
    </row>
    <row r="625">
      <c r="A625" s="23"/>
      <c r="B625" s="23"/>
      <c r="F625" s="14"/>
      <c r="G625" s="24"/>
      <c r="J625" s="25"/>
    </row>
    <row r="626">
      <c r="A626" s="23"/>
      <c r="B626" s="23"/>
      <c r="F626" s="14"/>
      <c r="G626" s="24"/>
      <c r="J626" s="25"/>
    </row>
    <row r="627">
      <c r="A627" s="23"/>
      <c r="B627" s="23"/>
      <c r="F627" s="14"/>
      <c r="G627" s="24"/>
      <c r="J627" s="25"/>
    </row>
    <row r="628">
      <c r="A628" s="23"/>
      <c r="B628" s="23"/>
      <c r="F628" s="14"/>
      <c r="G628" s="24"/>
      <c r="J628" s="25"/>
    </row>
    <row r="629">
      <c r="A629" s="23"/>
      <c r="B629" s="23"/>
      <c r="F629" s="14"/>
      <c r="G629" s="24"/>
      <c r="J629" s="25"/>
    </row>
    <row r="630">
      <c r="A630" s="23"/>
      <c r="B630" s="23"/>
      <c r="F630" s="14"/>
      <c r="G630" s="24"/>
      <c r="J630" s="25"/>
    </row>
    <row r="631">
      <c r="A631" s="23"/>
      <c r="B631" s="23"/>
      <c r="F631" s="14"/>
      <c r="G631" s="24"/>
      <c r="J631" s="25"/>
    </row>
    <row r="632">
      <c r="A632" s="23"/>
      <c r="B632" s="23"/>
      <c r="F632" s="14"/>
      <c r="G632" s="24"/>
      <c r="J632" s="25"/>
    </row>
    <row r="633">
      <c r="A633" s="23"/>
      <c r="B633" s="23"/>
      <c r="F633" s="14"/>
      <c r="G633" s="24"/>
      <c r="J633" s="25"/>
    </row>
    <row r="634">
      <c r="A634" s="23"/>
      <c r="B634" s="23"/>
      <c r="F634" s="14"/>
      <c r="G634" s="24"/>
      <c r="J634" s="25"/>
    </row>
    <row r="635">
      <c r="A635" s="23"/>
      <c r="B635" s="23"/>
      <c r="F635" s="14"/>
      <c r="G635" s="24"/>
      <c r="J635" s="25"/>
    </row>
    <row r="636">
      <c r="A636" s="23"/>
      <c r="B636" s="23"/>
      <c r="F636" s="14"/>
      <c r="G636" s="24"/>
      <c r="J636" s="25"/>
    </row>
    <row r="637">
      <c r="A637" s="23"/>
      <c r="B637" s="23"/>
      <c r="F637" s="14"/>
      <c r="G637" s="24"/>
      <c r="J637" s="25"/>
    </row>
    <row r="638">
      <c r="A638" s="23"/>
      <c r="B638" s="23"/>
      <c r="F638" s="14"/>
      <c r="G638" s="24"/>
      <c r="J638" s="25"/>
    </row>
    <row r="639">
      <c r="A639" s="23"/>
      <c r="B639" s="23"/>
      <c r="F639" s="14"/>
      <c r="G639" s="24"/>
      <c r="J639" s="25"/>
    </row>
    <row r="640">
      <c r="A640" s="23"/>
      <c r="B640" s="23"/>
      <c r="F640" s="14"/>
      <c r="G640" s="24"/>
      <c r="J640" s="25"/>
    </row>
    <row r="641">
      <c r="A641" s="23"/>
      <c r="B641" s="23"/>
      <c r="F641" s="14"/>
      <c r="G641" s="24"/>
      <c r="J641" s="25"/>
    </row>
    <row r="642">
      <c r="A642" s="23"/>
      <c r="B642" s="23"/>
      <c r="F642" s="14"/>
      <c r="G642" s="24"/>
      <c r="J642" s="25"/>
    </row>
    <row r="643">
      <c r="A643" s="23"/>
      <c r="B643" s="23"/>
      <c r="F643" s="14"/>
      <c r="G643" s="24"/>
      <c r="J643" s="25"/>
    </row>
    <row r="644">
      <c r="A644" s="23"/>
      <c r="B644" s="23"/>
      <c r="F644" s="14"/>
      <c r="G644" s="24"/>
      <c r="J644" s="25"/>
    </row>
    <row r="645">
      <c r="A645" s="23"/>
      <c r="B645" s="23"/>
      <c r="F645" s="14"/>
      <c r="G645" s="24"/>
      <c r="J645" s="25"/>
    </row>
    <row r="646">
      <c r="A646" s="23"/>
      <c r="B646" s="23"/>
      <c r="F646" s="14"/>
      <c r="G646" s="24"/>
      <c r="J646" s="25"/>
    </row>
    <row r="647">
      <c r="A647" s="23"/>
      <c r="B647" s="23"/>
      <c r="F647" s="14"/>
      <c r="G647" s="24"/>
      <c r="J647" s="25"/>
    </row>
    <row r="648">
      <c r="A648" s="23"/>
      <c r="B648" s="23"/>
      <c r="F648" s="14"/>
      <c r="G648" s="24"/>
      <c r="J648" s="25"/>
    </row>
    <row r="649">
      <c r="A649" s="23"/>
      <c r="B649" s="23"/>
      <c r="F649" s="14"/>
      <c r="G649" s="24"/>
      <c r="J649" s="25"/>
    </row>
    <row r="650">
      <c r="A650" s="23"/>
      <c r="B650" s="23"/>
      <c r="F650" s="14"/>
      <c r="G650" s="24"/>
      <c r="J650" s="25"/>
    </row>
    <row r="651">
      <c r="A651" s="23"/>
      <c r="B651" s="23"/>
      <c r="F651" s="14"/>
      <c r="G651" s="24"/>
      <c r="J651" s="25"/>
    </row>
    <row r="652">
      <c r="A652" s="23"/>
      <c r="B652" s="23"/>
      <c r="F652" s="14"/>
      <c r="G652" s="24"/>
      <c r="J652" s="25"/>
    </row>
    <row r="653">
      <c r="A653" s="23"/>
      <c r="B653" s="23"/>
      <c r="F653" s="14"/>
      <c r="G653" s="24"/>
      <c r="J653" s="25"/>
    </row>
    <row r="654">
      <c r="A654" s="23"/>
      <c r="B654" s="23"/>
      <c r="F654" s="14"/>
      <c r="G654" s="24"/>
      <c r="J654" s="25"/>
    </row>
    <row r="655">
      <c r="A655" s="23"/>
      <c r="B655" s="23"/>
      <c r="F655" s="14"/>
      <c r="G655" s="24"/>
      <c r="J655" s="25"/>
    </row>
    <row r="656">
      <c r="A656" s="23"/>
      <c r="B656" s="23"/>
      <c r="F656" s="14"/>
      <c r="G656" s="24"/>
      <c r="J656" s="25"/>
    </row>
    <row r="657">
      <c r="A657" s="23"/>
      <c r="B657" s="23"/>
      <c r="F657" s="14"/>
      <c r="G657" s="24"/>
      <c r="J657" s="25"/>
    </row>
    <row r="658">
      <c r="A658" s="23"/>
      <c r="B658" s="23"/>
      <c r="F658" s="14"/>
      <c r="G658" s="24"/>
      <c r="J658" s="25"/>
    </row>
    <row r="659">
      <c r="A659" s="23"/>
      <c r="B659" s="23"/>
      <c r="F659" s="14"/>
      <c r="G659" s="24"/>
      <c r="J659" s="25"/>
    </row>
    <row r="660">
      <c r="A660" s="23"/>
      <c r="B660" s="23"/>
      <c r="F660" s="14"/>
      <c r="G660" s="24"/>
      <c r="J660" s="25"/>
    </row>
    <row r="661">
      <c r="A661" s="23"/>
      <c r="B661" s="23"/>
      <c r="F661" s="14"/>
      <c r="G661" s="24"/>
      <c r="J661" s="25"/>
    </row>
    <row r="662">
      <c r="A662" s="23"/>
      <c r="B662" s="23"/>
      <c r="F662" s="14"/>
      <c r="G662" s="24"/>
      <c r="J662" s="25"/>
    </row>
    <row r="663">
      <c r="A663" s="23"/>
      <c r="B663" s="23"/>
      <c r="F663" s="14"/>
      <c r="G663" s="24"/>
      <c r="J663" s="25"/>
    </row>
    <row r="664">
      <c r="A664" s="23"/>
      <c r="B664" s="23"/>
      <c r="F664" s="14"/>
      <c r="G664" s="24"/>
      <c r="J664" s="25"/>
    </row>
    <row r="665">
      <c r="A665" s="23"/>
      <c r="B665" s="23"/>
      <c r="F665" s="14"/>
      <c r="G665" s="24"/>
      <c r="J665" s="25"/>
    </row>
    <row r="666">
      <c r="A666" s="23"/>
      <c r="B666" s="23"/>
      <c r="F666" s="14"/>
      <c r="G666" s="24"/>
      <c r="J666" s="25"/>
    </row>
    <row r="667">
      <c r="A667" s="23"/>
      <c r="B667" s="23"/>
      <c r="F667" s="14"/>
      <c r="G667" s="24"/>
      <c r="J667" s="25"/>
    </row>
    <row r="668">
      <c r="A668" s="23"/>
      <c r="B668" s="23"/>
      <c r="F668" s="14"/>
      <c r="G668" s="24"/>
      <c r="J668" s="25"/>
    </row>
    <row r="669">
      <c r="A669" s="23"/>
      <c r="B669" s="23"/>
      <c r="F669" s="14"/>
      <c r="G669" s="24"/>
      <c r="J669" s="25"/>
    </row>
    <row r="670">
      <c r="A670" s="23"/>
      <c r="B670" s="23"/>
      <c r="F670" s="14"/>
      <c r="G670" s="24"/>
      <c r="J670" s="25"/>
    </row>
    <row r="671">
      <c r="A671" s="23"/>
      <c r="B671" s="23"/>
      <c r="F671" s="14"/>
      <c r="G671" s="24"/>
      <c r="J671" s="25"/>
    </row>
    <row r="672">
      <c r="A672" s="23"/>
      <c r="B672" s="23"/>
      <c r="F672" s="14"/>
      <c r="G672" s="24"/>
      <c r="J672" s="25"/>
    </row>
    <row r="673">
      <c r="A673" s="23"/>
      <c r="B673" s="23"/>
      <c r="F673" s="14"/>
      <c r="G673" s="24"/>
      <c r="J673" s="25"/>
    </row>
    <row r="674">
      <c r="A674" s="23"/>
      <c r="B674" s="23"/>
      <c r="F674" s="14"/>
      <c r="G674" s="24"/>
      <c r="J674" s="25"/>
    </row>
    <row r="675">
      <c r="A675" s="23"/>
      <c r="B675" s="23"/>
      <c r="F675" s="14"/>
      <c r="G675" s="24"/>
      <c r="J675" s="25"/>
    </row>
    <row r="676">
      <c r="A676" s="23"/>
      <c r="B676" s="23"/>
      <c r="F676" s="14"/>
      <c r="G676" s="24"/>
      <c r="J676" s="25"/>
    </row>
    <row r="677">
      <c r="A677" s="23"/>
      <c r="B677" s="23"/>
      <c r="F677" s="14"/>
      <c r="G677" s="24"/>
      <c r="J677" s="25"/>
    </row>
    <row r="678">
      <c r="A678" s="23"/>
      <c r="B678" s="23"/>
      <c r="F678" s="14"/>
      <c r="G678" s="24"/>
      <c r="J678" s="25"/>
    </row>
    <row r="679">
      <c r="A679" s="23"/>
      <c r="B679" s="23"/>
      <c r="F679" s="14"/>
      <c r="G679" s="24"/>
      <c r="J679" s="25"/>
    </row>
    <row r="680">
      <c r="A680" s="23"/>
      <c r="B680" s="23"/>
      <c r="F680" s="14"/>
      <c r="G680" s="24"/>
      <c r="J680" s="25"/>
    </row>
    <row r="681">
      <c r="A681" s="23"/>
      <c r="B681" s="23"/>
      <c r="F681" s="14"/>
      <c r="G681" s="24"/>
      <c r="J681" s="25"/>
    </row>
    <row r="682">
      <c r="A682" s="23"/>
      <c r="B682" s="23"/>
      <c r="F682" s="14"/>
      <c r="G682" s="24"/>
      <c r="J682" s="25"/>
    </row>
    <row r="683">
      <c r="A683" s="23"/>
      <c r="B683" s="23"/>
      <c r="F683" s="14"/>
      <c r="G683" s="24"/>
      <c r="J683" s="25"/>
    </row>
    <row r="684">
      <c r="A684" s="23"/>
      <c r="B684" s="23"/>
      <c r="F684" s="14"/>
      <c r="G684" s="24"/>
      <c r="J684" s="25"/>
    </row>
    <row r="685">
      <c r="A685" s="23"/>
      <c r="B685" s="23"/>
      <c r="F685" s="14"/>
      <c r="G685" s="24"/>
      <c r="J685" s="25"/>
    </row>
    <row r="686">
      <c r="A686" s="23"/>
      <c r="B686" s="23"/>
      <c r="F686" s="14"/>
      <c r="G686" s="24"/>
      <c r="J686" s="25"/>
    </row>
    <row r="687">
      <c r="A687" s="23"/>
      <c r="B687" s="23"/>
      <c r="F687" s="14"/>
      <c r="G687" s="24"/>
      <c r="J687" s="25"/>
    </row>
    <row r="688">
      <c r="A688" s="23"/>
      <c r="B688" s="23"/>
      <c r="F688" s="14"/>
      <c r="G688" s="24"/>
      <c r="J688" s="25"/>
    </row>
    <row r="689">
      <c r="A689" s="23"/>
      <c r="B689" s="23"/>
      <c r="F689" s="14"/>
      <c r="G689" s="24"/>
      <c r="J689" s="25"/>
    </row>
    <row r="690">
      <c r="A690" s="23"/>
      <c r="B690" s="23"/>
      <c r="F690" s="14"/>
      <c r="G690" s="24"/>
      <c r="J690" s="25"/>
    </row>
    <row r="691">
      <c r="A691" s="23"/>
      <c r="B691" s="23"/>
      <c r="F691" s="14"/>
      <c r="G691" s="24"/>
      <c r="J691" s="25"/>
    </row>
    <row r="692">
      <c r="A692" s="23"/>
      <c r="B692" s="23"/>
      <c r="F692" s="14"/>
      <c r="G692" s="24"/>
      <c r="J692" s="25"/>
    </row>
    <row r="693">
      <c r="A693" s="23"/>
      <c r="B693" s="23"/>
      <c r="F693" s="14"/>
      <c r="G693" s="24"/>
      <c r="J693" s="25"/>
    </row>
    <row r="694">
      <c r="A694" s="23"/>
      <c r="B694" s="23"/>
      <c r="F694" s="14"/>
      <c r="G694" s="24"/>
      <c r="J694" s="25"/>
    </row>
    <row r="695">
      <c r="A695" s="23"/>
      <c r="B695" s="23"/>
      <c r="F695" s="14"/>
      <c r="G695" s="24"/>
      <c r="J695" s="25"/>
    </row>
    <row r="696">
      <c r="A696" s="23"/>
      <c r="B696" s="23"/>
      <c r="F696" s="14"/>
      <c r="G696" s="24"/>
      <c r="J696" s="25"/>
    </row>
    <row r="697">
      <c r="A697" s="23"/>
      <c r="B697" s="23"/>
      <c r="F697" s="14"/>
      <c r="G697" s="24"/>
      <c r="J697" s="25"/>
    </row>
    <row r="698">
      <c r="A698" s="23"/>
      <c r="B698" s="23"/>
      <c r="F698" s="14"/>
      <c r="G698" s="24"/>
      <c r="J698" s="25"/>
    </row>
    <row r="699">
      <c r="A699" s="23"/>
      <c r="B699" s="23"/>
      <c r="F699" s="14"/>
      <c r="G699" s="24"/>
      <c r="J699" s="25"/>
    </row>
    <row r="700">
      <c r="A700" s="23"/>
      <c r="B700" s="23"/>
      <c r="F700" s="14"/>
      <c r="G700" s="24"/>
      <c r="J700" s="25"/>
    </row>
    <row r="701">
      <c r="A701" s="23"/>
      <c r="B701" s="23"/>
      <c r="F701" s="14"/>
      <c r="G701" s="24"/>
      <c r="J701" s="25"/>
    </row>
    <row r="702">
      <c r="A702" s="23"/>
      <c r="B702" s="23"/>
      <c r="F702" s="14"/>
      <c r="G702" s="24"/>
      <c r="J702" s="25"/>
    </row>
    <row r="703">
      <c r="A703" s="23"/>
      <c r="B703" s="23"/>
      <c r="F703" s="14"/>
      <c r="G703" s="24"/>
      <c r="J703" s="25"/>
    </row>
    <row r="704">
      <c r="A704" s="23"/>
      <c r="B704" s="23"/>
      <c r="F704" s="14"/>
      <c r="G704" s="24"/>
      <c r="J704" s="25"/>
    </row>
    <row r="705">
      <c r="A705" s="23"/>
      <c r="B705" s="23"/>
      <c r="F705" s="14"/>
      <c r="G705" s="24"/>
      <c r="J705" s="25"/>
    </row>
    <row r="706">
      <c r="A706" s="23"/>
      <c r="B706" s="23"/>
      <c r="F706" s="14"/>
      <c r="G706" s="24"/>
      <c r="J706" s="25"/>
    </row>
    <row r="707">
      <c r="A707" s="23"/>
      <c r="B707" s="23"/>
      <c r="F707" s="14"/>
      <c r="G707" s="24"/>
      <c r="J707" s="25"/>
    </row>
    <row r="708">
      <c r="A708" s="23"/>
      <c r="B708" s="23"/>
      <c r="F708" s="14"/>
      <c r="G708" s="24"/>
      <c r="J708" s="25"/>
    </row>
    <row r="709">
      <c r="A709" s="23"/>
      <c r="B709" s="23"/>
      <c r="F709" s="14"/>
      <c r="G709" s="24"/>
      <c r="J709" s="25"/>
    </row>
    <row r="710">
      <c r="A710" s="23"/>
      <c r="B710" s="23"/>
      <c r="F710" s="14"/>
      <c r="G710" s="24"/>
      <c r="J710" s="25"/>
    </row>
    <row r="711">
      <c r="A711" s="23"/>
      <c r="B711" s="23"/>
      <c r="F711" s="14"/>
      <c r="G711" s="24"/>
      <c r="J711" s="25"/>
    </row>
    <row r="712">
      <c r="A712" s="23"/>
      <c r="B712" s="23"/>
      <c r="F712" s="14"/>
      <c r="G712" s="24"/>
      <c r="J712" s="25"/>
    </row>
    <row r="713">
      <c r="A713" s="23"/>
      <c r="B713" s="23"/>
      <c r="F713" s="14"/>
      <c r="G713" s="24"/>
      <c r="J713" s="25"/>
    </row>
    <row r="714">
      <c r="A714" s="23"/>
      <c r="B714" s="23"/>
      <c r="F714" s="14"/>
      <c r="G714" s="24"/>
      <c r="J714" s="25"/>
    </row>
    <row r="715">
      <c r="A715" s="23"/>
      <c r="B715" s="23"/>
      <c r="F715" s="14"/>
      <c r="G715" s="24"/>
      <c r="J715" s="25"/>
    </row>
    <row r="716">
      <c r="A716" s="23"/>
      <c r="B716" s="23"/>
      <c r="F716" s="14"/>
      <c r="G716" s="24"/>
      <c r="J716" s="25"/>
    </row>
    <row r="717">
      <c r="A717" s="23"/>
      <c r="B717" s="23"/>
      <c r="F717" s="14"/>
      <c r="G717" s="24"/>
      <c r="J717" s="25"/>
    </row>
    <row r="718">
      <c r="A718" s="23"/>
      <c r="B718" s="23"/>
      <c r="F718" s="14"/>
      <c r="G718" s="24"/>
      <c r="J718" s="25"/>
    </row>
    <row r="719">
      <c r="A719" s="23"/>
      <c r="B719" s="23"/>
      <c r="F719" s="14"/>
      <c r="G719" s="24"/>
      <c r="J719" s="25"/>
    </row>
    <row r="720">
      <c r="A720" s="23"/>
      <c r="B720" s="23"/>
      <c r="F720" s="14"/>
      <c r="G720" s="24"/>
      <c r="J720" s="25"/>
    </row>
    <row r="721">
      <c r="A721" s="23"/>
      <c r="B721" s="23"/>
      <c r="F721" s="14"/>
      <c r="G721" s="24"/>
      <c r="J721" s="25"/>
    </row>
    <row r="722">
      <c r="A722" s="23"/>
      <c r="B722" s="23"/>
      <c r="F722" s="14"/>
      <c r="G722" s="24"/>
      <c r="J722" s="25"/>
    </row>
    <row r="723">
      <c r="A723" s="23"/>
      <c r="B723" s="23"/>
      <c r="F723" s="14"/>
      <c r="G723" s="24"/>
      <c r="J723" s="25"/>
    </row>
    <row r="724">
      <c r="A724" s="23"/>
      <c r="B724" s="23"/>
      <c r="F724" s="14"/>
      <c r="G724" s="24"/>
      <c r="J724" s="25"/>
    </row>
    <row r="725">
      <c r="A725" s="23"/>
      <c r="B725" s="23"/>
      <c r="F725" s="14"/>
      <c r="G725" s="24"/>
      <c r="J725" s="25"/>
    </row>
    <row r="726">
      <c r="A726" s="23"/>
      <c r="B726" s="23"/>
      <c r="F726" s="14"/>
      <c r="G726" s="24"/>
      <c r="J726" s="25"/>
    </row>
    <row r="727">
      <c r="A727" s="23"/>
      <c r="B727" s="23"/>
      <c r="F727" s="14"/>
      <c r="G727" s="24"/>
      <c r="J727" s="25"/>
    </row>
    <row r="728">
      <c r="A728" s="23"/>
      <c r="B728" s="23"/>
      <c r="F728" s="14"/>
      <c r="G728" s="24"/>
      <c r="J728" s="25"/>
    </row>
    <row r="729">
      <c r="A729" s="23"/>
      <c r="B729" s="23"/>
      <c r="F729" s="14"/>
      <c r="G729" s="24"/>
      <c r="J729" s="25"/>
    </row>
    <row r="730">
      <c r="A730" s="23"/>
      <c r="B730" s="23"/>
      <c r="F730" s="14"/>
      <c r="G730" s="24"/>
      <c r="J730" s="25"/>
    </row>
    <row r="731">
      <c r="A731" s="23"/>
      <c r="B731" s="23"/>
      <c r="F731" s="14"/>
      <c r="G731" s="24"/>
      <c r="J731" s="25"/>
    </row>
    <row r="732">
      <c r="A732" s="23"/>
      <c r="B732" s="23"/>
      <c r="F732" s="14"/>
      <c r="G732" s="24"/>
      <c r="J732" s="25"/>
    </row>
    <row r="733">
      <c r="A733" s="23"/>
      <c r="B733" s="23"/>
      <c r="F733" s="14"/>
      <c r="G733" s="24"/>
      <c r="J733" s="25"/>
    </row>
    <row r="734">
      <c r="A734" s="23"/>
      <c r="B734" s="23"/>
      <c r="F734" s="14"/>
      <c r="G734" s="24"/>
      <c r="J734" s="25"/>
    </row>
    <row r="735">
      <c r="A735" s="23"/>
      <c r="B735" s="23"/>
      <c r="F735" s="14"/>
      <c r="G735" s="24"/>
      <c r="J735" s="25"/>
    </row>
    <row r="736">
      <c r="A736" s="23"/>
      <c r="B736" s="23"/>
      <c r="F736" s="14"/>
      <c r="G736" s="24"/>
      <c r="J736" s="25"/>
    </row>
    <row r="737">
      <c r="A737" s="23"/>
      <c r="B737" s="23"/>
      <c r="F737" s="14"/>
      <c r="G737" s="24"/>
      <c r="J737" s="25"/>
    </row>
    <row r="738">
      <c r="A738" s="23"/>
      <c r="B738" s="23"/>
      <c r="F738" s="14"/>
      <c r="G738" s="24"/>
      <c r="J738" s="25"/>
    </row>
    <row r="739">
      <c r="A739" s="23"/>
      <c r="B739" s="23"/>
      <c r="F739" s="14"/>
      <c r="G739" s="24"/>
      <c r="J739" s="25"/>
    </row>
    <row r="740">
      <c r="A740" s="23"/>
      <c r="B740" s="23"/>
      <c r="F740" s="14"/>
      <c r="G740" s="24"/>
      <c r="J740" s="25"/>
    </row>
    <row r="741">
      <c r="A741" s="23"/>
      <c r="B741" s="23"/>
      <c r="F741" s="14"/>
      <c r="G741" s="24"/>
      <c r="J741" s="25"/>
    </row>
    <row r="742">
      <c r="A742" s="23"/>
      <c r="B742" s="23"/>
      <c r="F742" s="14"/>
      <c r="G742" s="24"/>
      <c r="J742" s="25"/>
    </row>
    <row r="743">
      <c r="A743" s="23"/>
      <c r="B743" s="23"/>
      <c r="F743" s="14"/>
      <c r="G743" s="24"/>
      <c r="J743" s="25"/>
    </row>
    <row r="744">
      <c r="A744" s="23"/>
      <c r="B744" s="23"/>
      <c r="F744" s="14"/>
      <c r="G744" s="24"/>
      <c r="J744" s="25"/>
    </row>
    <row r="745">
      <c r="A745" s="23"/>
      <c r="B745" s="23"/>
      <c r="F745" s="14"/>
      <c r="G745" s="24"/>
      <c r="J745" s="25"/>
    </row>
    <row r="746">
      <c r="A746" s="23"/>
      <c r="B746" s="23"/>
      <c r="F746" s="14"/>
      <c r="G746" s="24"/>
      <c r="J746" s="25"/>
    </row>
    <row r="747">
      <c r="A747" s="23"/>
      <c r="B747" s="23"/>
      <c r="F747" s="14"/>
      <c r="G747" s="24"/>
      <c r="J747" s="25"/>
    </row>
    <row r="748">
      <c r="A748" s="23"/>
      <c r="B748" s="23"/>
      <c r="F748" s="14"/>
      <c r="G748" s="24"/>
      <c r="J748" s="25"/>
    </row>
    <row r="749">
      <c r="A749" s="23"/>
      <c r="B749" s="23"/>
      <c r="F749" s="14"/>
      <c r="G749" s="24"/>
      <c r="J749" s="25"/>
    </row>
    <row r="750">
      <c r="A750" s="23"/>
      <c r="B750" s="23"/>
      <c r="F750" s="14"/>
      <c r="G750" s="24"/>
      <c r="J750" s="25"/>
    </row>
    <row r="751">
      <c r="A751" s="23"/>
      <c r="B751" s="23"/>
      <c r="F751" s="14"/>
      <c r="G751" s="24"/>
      <c r="J751" s="25"/>
    </row>
    <row r="752">
      <c r="A752" s="23"/>
      <c r="B752" s="23"/>
      <c r="F752" s="14"/>
      <c r="G752" s="24"/>
      <c r="J752" s="25"/>
    </row>
    <row r="753">
      <c r="A753" s="23"/>
      <c r="B753" s="23"/>
      <c r="F753" s="14"/>
      <c r="G753" s="24"/>
      <c r="J753" s="25"/>
    </row>
    <row r="754">
      <c r="A754" s="23"/>
      <c r="B754" s="23"/>
      <c r="F754" s="14"/>
      <c r="G754" s="24"/>
      <c r="J754" s="25"/>
    </row>
    <row r="755">
      <c r="A755" s="23"/>
      <c r="B755" s="23"/>
      <c r="F755" s="14"/>
      <c r="G755" s="24"/>
      <c r="J755" s="25"/>
    </row>
    <row r="756">
      <c r="A756" s="23"/>
      <c r="B756" s="23"/>
      <c r="F756" s="14"/>
      <c r="G756" s="24"/>
      <c r="J756" s="25"/>
    </row>
    <row r="757">
      <c r="A757" s="23"/>
      <c r="B757" s="23"/>
      <c r="F757" s="14"/>
      <c r="G757" s="24"/>
      <c r="J757" s="25"/>
    </row>
    <row r="758">
      <c r="A758" s="23"/>
      <c r="B758" s="23"/>
      <c r="F758" s="14"/>
      <c r="G758" s="24"/>
      <c r="J758" s="25"/>
    </row>
    <row r="759">
      <c r="A759" s="23"/>
      <c r="B759" s="23"/>
      <c r="F759" s="14"/>
      <c r="G759" s="24"/>
      <c r="J759" s="25"/>
    </row>
    <row r="760">
      <c r="A760" s="23"/>
      <c r="B760" s="23"/>
      <c r="F760" s="14"/>
      <c r="G760" s="24"/>
      <c r="J760" s="25"/>
    </row>
    <row r="761">
      <c r="A761" s="23"/>
      <c r="B761" s="23"/>
      <c r="F761" s="14"/>
      <c r="G761" s="24"/>
      <c r="J761" s="25"/>
    </row>
    <row r="762">
      <c r="A762" s="23"/>
      <c r="B762" s="23"/>
      <c r="F762" s="14"/>
      <c r="G762" s="24"/>
      <c r="J762" s="25"/>
    </row>
    <row r="763">
      <c r="A763" s="23"/>
      <c r="B763" s="23"/>
      <c r="F763" s="14"/>
      <c r="G763" s="24"/>
      <c r="J763" s="25"/>
    </row>
    <row r="764">
      <c r="A764" s="23"/>
      <c r="B764" s="23"/>
      <c r="F764" s="14"/>
      <c r="G764" s="24"/>
      <c r="J764" s="25"/>
    </row>
    <row r="765">
      <c r="A765" s="23"/>
      <c r="B765" s="23"/>
      <c r="F765" s="14"/>
      <c r="G765" s="24"/>
      <c r="J765" s="25"/>
    </row>
    <row r="766">
      <c r="A766" s="23"/>
      <c r="B766" s="23"/>
      <c r="F766" s="14"/>
      <c r="G766" s="24"/>
      <c r="J766" s="25"/>
    </row>
    <row r="767">
      <c r="A767" s="23"/>
      <c r="B767" s="23"/>
      <c r="F767" s="14"/>
      <c r="G767" s="24"/>
      <c r="J767" s="25"/>
    </row>
    <row r="768">
      <c r="A768" s="23"/>
      <c r="B768" s="23"/>
      <c r="F768" s="14"/>
      <c r="G768" s="24"/>
      <c r="J768" s="25"/>
    </row>
    <row r="769">
      <c r="A769" s="23"/>
      <c r="B769" s="23"/>
      <c r="F769" s="14"/>
      <c r="G769" s="24"/>
      <c r="J769" s="25"/>
    </row>
    <row r="770">
      <c r="A770" s="23"/>
      <c r="B770" s="23"/>
      <c r="F770" s="14"/>
      <c r="G770" s="24"/>
      <c r="J770" s="25"/>
    </row>
    <row r="771">
      <c r="A771" s="23"/>
      <c r="B771" s="23"/>
      <c r="F771" s="14"/>
      <c r="G771" s="24"/>
      <c r="J771" s="25"/>
    </row>
    <row r="772">
      <c r="A772" s="23"/>
      <c r="B772" s="23"/>
      <c r="F772" s="14"/>
      <c r="G772" s="24"/>
      <c r="J772" s="25"/>
    </row>
    <row r="773">
      <c r="A773" s="23"/>
      <c r="B773" s="23"/>
      <c r="F773" s="14"/>
      <c r="G773" s="24"/>
      <c r="J773" s="25"/>
    </row>
    <row r="774">
      <c r="A774" s="23"/>
      <c r="B774" s="23"/>
      <c r="F774" s="14"/>
      <c r="G774" s="24"/>
      <c r="J774" s="25"/>
    </row>
    <row r="775">
      <c r="A775" s="23"/>
      <c r="B775" s="23"/>
      <c r="F775" s="14"/>
      <c r="G775" s="24"/>
      <c r="J775" s="25"/>
    </row>
    <row r="776">
      <c r="A776" s="23"/>
      <c r="B776" s="23"/>
      <c r="F776" s="14"/>
      <c r="G776" s="24"/>
      <c r="J776" s="25"/>
    </row>
    <row r="777">
      <c r="A777" s="23"/>
      <c r="B777" s="23"/>
      <c r="F777" s="14"/>
      <c r="G777" s="24"/>
      <c r="J777" s="25"/>
    </row>
    <row r="778">
      <c r="A778" s="23"/>
      <c r="B778" s="23"/>
      <c r="F778" s="14"/>
      <c r="G778" s="24"/>
      <c r="J778" s="25"/>
    </row>
    <row r="779">
      <c r="A779" s="23"/>
      <c r="B779" s="23"/>
      <c r="F779" s="14"/>
      <c r="G779" s="24"/>
      <c r="J779" s="25"/>
    </row>
    <row r="780">
      <c r="A780" s="23"/>
      <c r="B780" s="23"/>
      <c r="F780" s="14"/>
      <c r="G780" s="24"/>
      <c r="J780" s="25"/>
    </row>
    <row r="781">
      <c r="A781" s="23"/>
      <c r="B781" s="23"/>
      <c r="F781" s="14"/>
      <c r="G781" s="24"/>
      <c r="J781" s="25"/>
    </row>
    <row r="782">
      <c r="A782" s="23"/>
      <c r="B782" s="23"/>
      <c r="F782" s="14"/>
      <c r="G782" s="24"/>
      <c r="J782" s="25"/>
    </row>
    <row r="783">
      <c r="A783" s="23"/>
      <c r="B783" s="23"/>
      <c r="F783" s="14"/>
      <c r="G783" s="24"/>
      <c r="J783" s="25"/>
    </row>
    <row r="784">
      <c r="A784" s="23"/>
      <c r="B784" s="23"/>
      <c r="F784" s="14"/>
      <c r="G784" s="24"/>
      <c r="J784" s="25"/>
    </row>
    <row r="785">
      <c r="A785" s="23"/>
      <c r="B785" s="23"/>
      <c r="F785" s="14"/>
      <c r="G785" s="24"/>
      <c r="J785" s="25"/>
    </row>
    <row r="786">
      <c r="A786" s="23"/>
      <c r="B786" s="23"/>
      <c r="F786" s="14"/>
      <c r="G786" s="24"/>
      <c r="J786" s="25"/>
    </row>
    <row r="787">
      <c r="A787" s="23"/>
      <c r="B787" s="23"/>
      <c r="F787" s="14"/>
      <c r="G787" s="24"/>
      <c r="J787" s="25"/>
    </row>
    <row r="788">
      <c r="A788" s="23"/>
      <c r="B788" s="23"/>
      <c r="F788" s="14"/>
      <c r="G788" s="24"/>
      <c r="J788" s="25"/>
    </row>
    <row r="789">
      <c r="A789" s="23"/>
      <c r="B789" s="23"/>
      <c r="F789" s="14"/>
      <c r="G789" s="24"/>
      <c r="J789" s="25"/>
    </row>
    <row r="790">
      <c r="A790" s="23"/>
      <c r="B790" s="23"/>
      <c r="F790" s="14"/>
      <c r="G790" s="24"/>
      <c r="J790" s="25"/>
    </row>
    <row r="791">
      <c r="A791" s="23"/>
      <c r="B791" s="23"/>
      <c r="F791" s="14"/>
      <c r="G791" s="24"/>
      <c r="J791" s="25"/>
    </row>
    <row r="792">
      <c r="A792" s="23"/>
      <c r="B792" s="23"/>
      <c r="F792" s="14"/>
      <c r="G792" s="24"/>
      <c r="J792" s="25"/>
    </row>
    <row r="793">
      <c r="A793" s="23"/>
      <c r="B793" s="23"/>
      <c r="F793" s="14"/>
      <c r="G793" s="24"/>
      <c r="J793" s="25"/>
    </row>
    <row r="794">
      <c r="A794" s="23"/>
      <c r="B794" s="23"/>
      <c r="F794" s="14"/>
      <c r="G794" s="24"/>
      <c r="J794" s="25"/>
    </row>
    <row r="795">
      <c r="A795" s="23"/>
      <c r="B795" s="23"/>
      <c r="F795" s="14"/>
      <c r="G795" s="24"/>
      <c r="J795" s="25"/>
    </row>
    <row r="796">
      <c r="A796" s="23"/>
      <c r="B796" s="23"/>
      <c r="F796" s="14"/>
      <c r="G796" s="24"/>
      <c r="J796" s="25"/>
    </row>
    <row r="797">
      <c r="A797" s="23"/>
      <c r="B797" s="23"/>
      <c r="F797" s="14"/>
      <c r="G797" s="24"/>
      <c r="J797" s="25"/>
    </row>
    <row r="798">
      <c r="A798" s="23"/>
      <c r="B798" s="23"/>
      <c r="F798" s="14"/>
      <c r="G798" s="24"/>
      <c r="J798" s="25"/>
    </row>
    <row r="799">
      <c r="A799" s="23"/>
      <c r="B799" s="23"/>
      <c r="F799" s="14"/>
      <c r="G799" s="24"/>
      <c r="J799" s="25"/>
    </row>
    <row r="800">
      <c r="A800" s="23"/>
      <c r="B800" s="23"/>
      <c r="F800" s="14"/>
      <c r="G800" s="24"/>
      <c r="J800" s="25"/>
    </row>
    <row r="801">
      <c r="A801" s="23"/>
      <c r="B801" s="23"/>
      <c r="F801" s="14"/>
      <c r="G801" s="24"/>
      <c r="J801" s="25"/>
    </row>
    <row r="802">
      <c r="A802" s="23"/>
      <c r="B802" s="23"/>
      <c r="F802" s="14"/>
      <c r="G802" s="24"/>
      <c r="J802" s="25"/>
    </row>
    <row r="803">
      <c r="A803" s="23"/>
      <c r="B803" s="23"/>
      <c r="F803" s="14"/>
      <c r="G803" s="24"/>
      <c r="J803" s="25"/>
    </row>
    <row r="804">
      <c r="A804" s="23"/>
      <c r="B804" s="23"/>
      <c r="F804" s="14"/>
      <c r="G804" s="24"/>
      <c r="J804" s="25"/>
    </row>
    <row r="805">
      <c r="A805" s="23"/>
      <c r="B805" s="23"/>
      <c r="F805" s="14"/>
      <c r="G805" s="24"/>
      <c r="J805" s="25"/>
    </row>
    <row r="806">
      <c r="A806" s="23"/>
      <c r="B806" s="23"/>
      <c r="F806" s="14"/>
      <c r="G806" s="24"/>
      <c r="J806" s="25"/>
    </row>
    <row r="807">
      <c r="A807" s="23"/>
      <c r="B807" s="23"/>
      <c r="F807" s="14"/>
      <c r="G807" s="24"/>
      <c r="J807" s="25"/>
    </row>
    <row r="808">
      <c r="A808" s="23"/>
      <c r="B808" s="23"/>
      <c r="F808" s="14"/>
      <c r="G808" s="24"/>
      <c r="J808" s="25"/>
    </row>
    <row r="809">
      <c r="A809" s="23"/>
      <c r="B809" s="23"/>
      <c r="F809" s="14"/>
      <c r="G809" s="24"/>
      <c r="J809" s="25"/>
    </row>
    <row r="810">
      <c r="A810" s="23"/>
      <c r="B810" s="23"/>
      <c r="F810" s="14"/>
      <c r="G810" s="24"/>
      <c r="J810" s="25"/>
    </row>
    <row r="811">
      <c r="A811" s="23"/>
      <c r="B811" s="23"/>
      <c r="F811" s="14"/>
      <c r="G811" s="24"/>
      <c r="J811" s="25"/>
    </row>
    <row r="812">
      <c r="A812" s="23"/>
      <c r="B812" s="23"/>
      <c r="F812" s="14"/>
      <c r="G812" s="24"/>
      <c r="J812" s="25"/>
    </row>
    <row r="813">
      <c r="A813" s="23"/>
      <c r="B813" s="23"/>
      <c r="F813" s="14"/>
      <c r="G813" s="24"/>
      <c r="J813" s="25"/>
    </row>
    <row r="814">
      <c r="A814" s="23"/>
      <c r="B814" s="23"/>
      <c r="F814" s="14"/>
      <c r="G814" s="24"/>
      <c r="J814" s="25"/>
    </row>
    <row r="815">
      <c r="A815" s="23"/>
      <c r="B815" s="23"/>
      <c r="F815" s="14"/>
      <c r="G815" s="24"/>
      <c r="J815" s="25"/>
    </row>
    <row r="816">
      <c r="A816" s="23"/>
      <c r="B816" s="23"/>
      <c r="F816" s="14"/>
      <c r="G816" s="24"/>
      <c r="J816" s="25"/>
    </row>
    <row r="817">
      <c r="A817" s="23"/>
      <c r="B817" s="23"/>
      <c r="F817" s="14"/>
      <c r="G817" s="24"/>
      <c r="J817" s="25"/>
    </row>
    <row r="818">
      <c r="A818" s="23"/>
      <c r="B818" s="23"/>
      <c r="F818" s="14"/>
      <c r="G818" s="24"/>
      <c r="J818" s="25"/>
    </row>
    <row r="819">
      <c r="A819" s="23"/>
      <c r="B819" s="23"/>
      <c r="F819" s="14"/>
      <c r="G819" s="24"/>
      <c r="J819" s="25"/>
    </row>
    <row r="820">
      <c r="A820" s="23"/>
      <c r="B820" s="23"/>
      <c r="F820" s="14"/>
      <c r="G820" s="24"/>
      <c r="J820" s="25"/>
    </row>
    <row r="821">
      <c r="A821" s="23"/>
      <c r="B821" s="23"/>
      <c r="F821" s="14"/>
      <c r="G821" s="24"/>
      <c r="J821" s="25"/>
    </row>
    <row r="822">
      <c r="A822" s="23"/>
      <c r="B822" s="23"/>
      <c r="F822" s="14"/>
      <c r="G822" s="24"/>
      <c r="J822" s="25"/>
    </row>
    <row r="823">
      <c r="A823" s="23"/>
      <c r="B823" s="23"/>
      <c r="F823" s="14"/>
      <c r="G823" s="24"/>
      <c r="J823" s="25"/>
    </row>
    <row r="824">
      <c r="A824" s="23"/>
      <c r="B824" s="23"/>
      <c r="F824" s="14"/>
      <c r="G824" s="24"/>
      <c r="J824" s="25"/>
    </row>
    <row r="825">
      <c r="A825" s="23"/>
      <c r="B825" s="23"/>
      <c r="F825" s="14"/>
      <c r="G825" s="24"/>
      <c r="J825" s="25"/>
    </row>
    <row r="826">
      <c r="A826" s="23"/>
      <c r="B826" s="23"/>
      <c r="F826" s="14"/>
      <c r="G826" s="24"/>
      <c r="J826" s="25"/>
    </row>
    <row r="827">
      <c r="A827" s="23"/>
      <c r="B827" s="23"/>
      <c r="F827" s="14"/>
      <c r="G827" s="24"/>
      <c r="J827" s="25"/>
    </row>
    <row r="828">
      <c r="A828" s="23"/>
      <c r="B828" s="23"/>
      <c r="F828" s="14"/>
      <c r="G828" s="24"/>
      <c r="J828" s="25"/>
    </row>
    <row r="829">
      <c r="A829" s="23"/>
      <c r="B829" s="23"/>
      <c r="F829" s="14"/>
      <c r="G829" s="24"/>
      <c r="J829" s="25"/>
    </row>
    <row r="830">
      <c r="A830" s="23"/>
      <c r="B830" s="23"/>
      <c r="F830" s="14"/>
      <c r="G830" s="24"/>
      <c r="J830" s="25"/>
    </row>
    <row r="831">
      <c r="A831" s="23"/>
      <c r="B831" s="23"/>
      <c r="F831" s="14"/>
      <c r="G831" s="24"/>
      <c r="J831" s="25"/>
    </row>
    <row r="832">
      <c r="A832" s="23"/>
      <c r="B832" s="23"/>
      <c r="F832" s="14"/>
      <c r="G832" s="24"/>
      <c r="J832" s="25"/>
    </row>
    <row r="833">
      <c r="A833" s="23"/>
      <c r="B833" s="23"/>
      <c r="F833" s="14"/>
      <c r="G833" s="24"/>
      <c r="J833" s="25"/>
    </row>
    <row r="834">
      <c r="A834" s="23"/>
      <c r="B834" s="23"/>
      <c r="F834" s="14"/>
      <c r="G834" s="24"/>
      <c r="J834" s="25"/>
    </row>
    <row r="835">
      <c r="A835" s="23"/>
      <c r="B835" s="23"/>
      <c r="F835" s="14"/>
      <c r="G835" s="24"/>
      <c r="J835" s="25"/>
    </row>
    <row r="836">
      <c r="A836" s="23"/>
      <c r="B836" s="23"/>
      <c r="F836" s="14"/>
      <c r="G836" s="24"/>
      <c r="J836" s="25"/>
    </row>
    <row r="837">
      <c r="A837" s="23"/>
      <c r="B837" s="23"/>
      <c r="F837" s="14"/>
      <c r="G837" s="24"/>
      <c r="J837" s="25"/>
    </row>
    <row r="838">
      <c r="A838" s="23"/>
      <c r="B838" s="23"/>
      <c r="F838" s="14"/>
      <c r="G838" s="24"/>
      <c r="J838" s="25"/>
    </row>
    <row r="839">
      <c r="A839" s="23"/>
      <c r="B839" s="23"/>
      <c r="F839" s="14"/>
      <c r="G839" s="24"/>
      <c r="J839" s="25"/>
    </row>
    <row r="840">
      <c r="A840" s="23"/>
      <c r="B840" s="23"/>
      <c r="F840" s="14"/>
      <c r="G840" s="24"/>
      <c r="J840" s="25"/>
    </row>
    <row r="841">
      <c r="A841" s="23"/>
      <c r="B841" s="23"/>
      <c r="F841" s="14"/>
      <c r="G841" s="24"/>
      <c r="J841" s="25"/>
    </row>
    <row r="842">
      <c r="A842" s="23"/>
      <c r="B842" s="23"/>
      <c r="F842" s="14"/>
      <c r="G842" s="24"/>
      <c r="J842" s="25"/>
    </row>
    <row r="843">
      <c r="A843" s="23"/>
      <c r="B843" s="23"/>
      <c r="F843" s="14"/>
      <c r="G843" s="24"/>
      <c r="J843" s="25"/>
    </row>
    <row r="844">
      <c r="A844" s="23"/>
      <c r="B844" s="23"/>
      <c r="F844" s="14"/>
      <c r="G844" s="24"/>
      <c r="J844" s="25"/>
    </row>
    <row r="845">
      <c r="A845" s="23"/>
      <c r="B845" s="23"/>
      <c r="F845" s="14"/>
      <c r="G845" s="24"/>
      <c r="J845" s="25"/>
    </row>
    <row r="846">
      <c r="A846" s="23"/>
      <c r="B846" s="23"/>
      <c r="F846" s="14"/>
      <c r="G846" s="24"/>
      <c r="J846" s="25"/>
    </row>
    <row r="847">
      <c r="A847" s="23"/>
      <c r="B847" s="23"/>
      <c r="F847" s="14"/>
      <c r="G847" s="24"/>
      <c r="J847" s="25"/>
    </row>
    <row r="848">
      <c r="A848" s="23"/>
      <c r="B848" s="23"/>
      <c r="F848" s="14"/>
      <c r="G848" s="24"/>
      <c r="J848" s="25"/>
    </row>
    <row r="849">
      <c r="A849" s="23"/>
      <c r="B849" s="23"/>
      <c r="F849" s="14"/>
      <c r="G849" s="24"/>
      <c r="J849" s="25"/>
    </row>
    <row r="850">
      <c r="A850" s="23"/>
      <c r="B850" s="23"/>
      <c r="F850" s="14"/>
      <c r="G850" s="24"/>
      <c r="J850" s="25"/>
    </row>
    <row r="851">
      <c r="A851" s="23"/>
      <c r="B851" s="23"/>
      <c r="F851" s="14"/>
      <c r="G851" s="24"/>
      <c r="J851" s="25"/>
    </row>
    <row r="852">
      <c r="A852" s="23"/>
      <c r="B852" s="23"/>
      <c r="F852" s="14"/>
      <c r="G852" s="24"/>
      <c r="J852" s="25"/>
    </row>
    <row r="853">
      <c r="A853" s="23"/>
      <c r="B853" s="23"/>
      <c r="F853" s="14"/>
      <c r="G853" s="24"/>
      <c r="J853" s="25"/>
    </row>
    <row r="854">
      <c r="A854" s="23"/>
      <c r="B854" s="23"/>
      <c r="F854" s="14"/>
      <c r="G854" s="24"/>
      <c r="J854" s="25"/>
    </row>
    <row r="855">
      <c r="A855" s="23"/>
      <c r="B855" s="23"/>
      <c r="F855" s="14"/>
      <c r="G855" s="24"/>
      <c r="J855" s="25"/>
    </row>
    <row r="856">
      <c r="A856" s="23"/>
      <c r="B856" s="23"/>
      <c r="F856" s="14"/>
      <c r="G856" s="24"/>
      <c r="J856" s="25"/>
    </row>
    <row r="857">
      <c r="A857" s="23"/>
      <c r="B857" s="23"/>
      <c r="F857" s="14"/>
      <c r="G857" s="24"/>
      <c r="J857" s="25"/>
    </row>
    <row r="858">
      <c r="A858" s="23"/>
      <c r="B858" s="23"/>
      <c r="F858" s="14"/>
      <c r="G858" s="24"/>
      <c r="J858" s="25"/>
    </row>
    <row r="859">
      <c r="A859" s="23"/>
      <c r="B859" s="23"/>
      <c r="F859" s="14"/>
      <c r="G859" s="24"/>
      <c r="J859" s="25"/>
    </row>
    <row r="860">
      <c r="A860" s="23"/>
      <c r="B860" s="23"/>
      <c r="F860" s="14"/>
      <c r="G860" s="24"/>
      <c r="J860" s="25"/>
    </row>
    <row r="861">
      <c r="A861" s="23"/>
      <c r="B861" s="23"/>
      <c r="F861" s="14"/>
      <c r="G861" s="24"/>
      <c r="J861" s="25"/>
    </row>
    <row r="862">
      <c r="A862" s="23"/>
      <c r="B862" s="23"/>
      <c r="F862" s="14"/>
      <c r="G862" s="24"/>
      <c r="J862" s="25"/>
    </row>
    <row r="863">
      <c r="A863" s="23"/>
      <c r="B863" s="23"/>
      <c r="F863" s="14"/>
      <c r="G863" s="24"/>
      <c r="J863" s="25"/>
    </row>
    <row r="864">
      <c r="A864" s="23"/>
      <c r="B864" s="23"/>
      <c r="F864" s="14"/>
      <c r="G864" s="24"/>
      <c r="J864" s="25"/>
    </row>
    <row r="865">
      <c r="A865" s="23"/>
      <c r="B865" s="23"/>
      <c r="F865" s="14"/>
      <c r="G865" s="24"/>
      <c r="J865" s="25"/>
    </row>
    <row r="866">
      <c r="A866" s="23"/>
      <c r="B866" s="23"/>
      <c r="F866" s="14"/>
      <c r="G866" s="24"/>
      <c r="J866" s="25"/>
    </row>
    <row r="867">
      <c r="A867" s="23"/>
      <c r="B867" s="23"/>
      <c r="F867" s="14"/>
      <c r="G867" s="24"/>
      <c r="J867" s="25"/>
    </row>
    <row r="868">
      <c r="A868" s="23"/>
      <c r="B868" s="23"/>
      <c r="F868" s="14"/>
      <c r="G868" s="24"/>
      <c r="J868" s="25"/>
    </row>
    <row r="869">
      <c r="A869" s="23"/>
      <c r="B869" s="23"/>
      <c r="F869" s="14"/>
      <c r="G869" s="24"/>
      <c r="J869" s="25"/>
    </row>
    <row r="870">
      <c r="A870" s="23"/>
      <c r="B870" s="23"/>
      <c r="F870" s="14"/>
      <c r="G870" s="24"/>
      <c r="J870" s="25"/>
    </row>
    <row r="871">
      <c r="A871" s="23"/>
      <c r="B871" s="23"/>
      <c r="F871" s="14"/>
      <c r="G871" s="24"/>
      <c r="J871" s="25"/>
    </row>
    <row r="872">
      <c r="A872" s="23"/>
      <c r="B872" s="23"/>
      <c r="F872" s="14"/>
      <c r="G872" s="24"/>
      <c r="J872" s="25"/>
    </row>
    <row r="873">
      <c r="A873" s="23"/>
      <c r="B873" s="23"/>
      <c r="F873" s="14"/>
      <c r="G873" s="24"/>
      <c r="J873" s="25"/>
    </row>
    <row r="874">
      <c r="A874" s="23"/>
      <c r="B874" s="23"/>
      <c r="F874" s="14"/>
      <c r="G874" s="24"/>
      <c r="J874" s="25"/>
    </row>
    <row r="875">
      <c r="A875" s="23"/>
      <c r="B875" s="23"/>
      <c r="F875" s="14"/>
      <c r="G875" s="24"/>
      <c r="J875" s="25"/>
    </row>
    <row r="876">
      <c r="A876" s="23"/>
      <c r="B876" s="23"/>
      <c r="F876" s="14"/>
      <c r="G876" s="24"/>
      <c r="J876" s="25"/>
    </row>
    <row r="877">
      <c r="A877" s="23"/>
      <c r="B877" s="23"/>
      <c r="F877" s="14"/>
      <c r="G877" s="24"/>
      <c r="J877" s="25"/>
    </row>
    <row r="878">
      <c r="A878" s="23"/>
      <c r="B878" s="23"/>
      <c r="F878" s="14"/>
      <c r="G878" s="24"/>
      <c r="J878" s="25"/>
    </row>
    <row r="879">
      <c r="A879" s="23"/>
      <c r="B879" s="23"/>
      <c r="F879" s="14"/>
      <c r="G879" s="24"/>
      <c r="J879" s="25"/>
    </row>
    <row r="880">
      <c r="A880" s="23"/>
      <c r="B880" s="23"/>
      <c r="F880" s="14"/>
      <c r="G880" s="24"/>
      <c r="J880" s="25"/>
    </row>
    <row r="881">
      <c r="A881" s="23"/>
      <c r="B881" s="23"/>
      <c r="F881" s="14"/>
      <c r="G881" s="24"/>
      <c r="J881" s="25"/>
    </row>
    <row r="882">
      <c r="A882" s="23"/>
      <c r="B882" s="23"/>
      <c r="F882" s="14"/>
      <c r="G882" s="24"/>
      <c r="J882" s="25"/>
    </row>
    <row r="883">
      <c r="A883" s="23"/>
      <c r="B883" s="23"/>
      <c r="F883" s="14"/>
      <c r="G883" s="24"/>
      <c r="J883" s="25"/>
    </row>
    <row r="884">
      <c r="A884" s="23"/>
      <c r="B884" s="23"/>
      <c r="F884" s="14"/>
      <c r="G884" s="24"/>
      <c r="J884" s="25"/>
    </row>
    <row r="885">
      <c r="A885" s="23"/>
      <c r="B885" s="23"/>
      <c r="F885" s="14"/>
      <c r="G885" s="24"/>
      <c r="J885" s="25"/>
    </row>
    <row r="886">
      <c r="A886" s="23"/>
      <c r="B886" s="23"/>
      <c r="F886" s="14"/>
      <c r="G886" s="24"/>
      <c r="J886" s="25"/>
    </row>
    <row r="887">
      <c r="A887" s="23"/>
      <c r="B887" s="23"/>
      <c r="F887" s="14"/>
      <c r="G887" s="24"/>
      <c r="J887" s="25"/>
    </row>
    <row r="888">
      <c r="A888" s="23"/>
      <c r="B888" s="23"/>
      <c r="F888" s="14"/>
      <c r="G888" s="24"/>
      <c r="J888" s="25"/>
    </row>
    <row r="889">
      <c r="A889" s="23"/>
      <c r="B889" s="23"/>
      <c r="F889" s="14"/>
      <c r="G889" s="24"/>
      <c r="J889" s="25"/>
    </row>
    <row r="890">
      <c r="A890" s="23"/>
      <c r="B890" s="23"/>
      <c r="F890" s="14"/>
      <c r="G890" s="24"/>
      <c r="J890" s="25"/>
    </row>
    <row r="891">
      <c r="A891" s="23"/>
      <c r="B891" s="23"/>
      <c r="F891" s="14"/>
      <c r="G891" s="24"/>
      <c r="J891" s="25"/>
    </row>
    <row r="892">
      <c r="A892" s="23"/>
      <c r="B892" s="23"/>
      <c r="F892" s="14"/>
      <c r="G892" s="24"/>
      <c r="J892" s="25"/>
    </row>
    <row r="893">
      <c r="A893" s="23"/>
      <c r="B893" s="23"/>
      <c r="F893" s="14"/>
      <c r="G893" s="24"/>
      <c r="J893" s="25"/>
    </row>
    <row r="894">
      <c r="A894" s="23"/>
      <c r="B894" s="23"/>
      <c r="F894" s="14"/>
      <c r="G894" s="24"/>
      <c r="J894" s="25"/>
    </row>
    <row r="895">
      <c r="A895" s="23"/>
      <c r="B895" s="23"/>
      <c r="F895" s="14"/>
      <c r="G895" s="24"/>
      <c r="J895" s="25"/>
    </row>
    <row r="896">
      <c r="A896" s="23"/>
      <c r="B896" s="23"/>
      <c r="F896" s="14"/>
      <c r="G896" s="24"/>
      <c r="J896" s="25"/>
    </row>
    <row r="897">
      <c r="A897" s="23"/>
      <c r="B897" s="23"/>
      <c r="F897" s="14"/>
      <c r="G897" s="24"/>
      <c r="J897" s="25"/>
    </row>
    <row r="898">
      <c r="A898" s="23"/>
      <c r="B898" s="23"/>
      <c r="F898" s="14"/>
      <c r="G898" s="24"/>
      <c r="J898" s="25"/>
    </row>
    <row r="899">
      <c r="A899" s="23"/>
      <c r="B899" s="23"/>
      <c r="F899" s="14"/>
      <c r="G899" s="24"/>
      <c r="J899" s="25"/>
    </row>
    <row r="900">
      <c r="A900" s="23"/>
      <c r="B900" s="23"/>
      <c r="F900" s="14"/>
      <c r="G900" s="24"/>
      <c r="J900" s="25"/>
    </row>
    <row r="901">
      <c r="A901" s="23"/>
      <c r="B901" s="23"/>
      <c r="F901" s="14"/>
      <c r="G901" s="24"/>
      <c r="J901" s="25"/>
    </row>
    <row r="902">
      <c r="A902" s="23"/>
      <c r="B902" s="23"/>
      <c r="F902" s="14"/>
      <c r="G902" s="24"/>
      <c r="J902" s="25"/>
    </row>
    <row r="903">
      <c r="A903" s="23"/>
      <c r="B903" s="23"/>
      <c r="F903" s="14"/>
      <c r="G903" s="24"/>
      <c r="J903" s="25"/>
    </row>
    <row r="904">
      <c r="A904" s="23"/>
      <c r="B904" s="23"/>
      <c r="F904" s="14"/>
      <c r="G904" s="24"/>
      <c r="J904" s="25"/>
    </row>
    <row r="905">
      <c r="A905" s="23"/>
      <c r="B905" s="23"/>
      <c r="F905" s="14"/>
      <c r="G905" s="24"/>
      <c r="J905" s="25"/>
    </row>
    <row r="906">
      <c r="A906" s="23"/>
      <c r="B906" s="23"/>
      <c r="F906" s="14"/>
      <c r="G906" s="24"/>
      <c r="J906" s="25"/>
    </row>
    <row r="907">
      <c r="A907" s="23"/>
      <c r="B907" s="23"/>
      <c r="F907" s="14"/>
      <c r="G907" s="24"/>
      <c r="J907" s="25"/>
    </row>
    <row r="908">
      <c r="A908" s="23"/>
      <c r="B908" s="23"/>
      <c r="F908" s="14"/>
      <c r="G908" s="24"/>
      <c r="J908" s="25"/>
    </row>
    <row r="909">
      <c r="A909" s="23"/>
      <c r="B909" s="23"/>
      <c r="F909" s="14"/>
      <c r="G909" s="24"/>
      <c r="J909" s="25"/>
    </row>
    <row r="910">
      <c r="A910" s="23"/>
      <c r="B910" s="23"/>
      <c r="F910" s="14"/>
      <c r="G910" s="24"/>
      <c r="J910" s="25"/>
    </row>
    <row r="911">
      <c r="A911" s="23"/>
      <c r="B911" s="23"/>
      <c r="F911" s="14"/>
      <c r="G911" s="24"/>
      <c r="J911" s="25"/>
    </row>
    <row r="912">
      <c r="A912" s="23"/>
      <c r="B912" s="23"/>
      <c r="F912" s="14"/>
      <c r="G912" s="24"/>
      <c r="J912" s="25"/>
    </row>
    <row r="913">
      <c r="A913" s="23"/>
      <c r="B913" s="23"/>
      <c r="F913" s="14"/>
      <c r="G913" s="24"/>
      <c r="J913" s="25"/>
    </row>
    <row r="914">
      <c r="A914" s="23"/>
      <c r="B914" s="23"/>
      <c r="F914" s="14"/>
      <c r="G914" s="24"/>
      <c r="J914" s="25"/>
    </row>
    <row r="915">
      <c r="A915" s="23"/>
      <c r="B915" s="23"/>
      <c r="F915" s="14"/>
      <c r="G915" s="24"/>
      <c r="J915" s="25"/>
    </row>
    <row r="916">
      <c r="A916" s="23"/>
      <c r="B916" s="23"/>
      <c r="F916" s="14"/>
      <c r="G916" s="24"/>
      <c r="J916" s="25"/>
    </row>
    <row r="917">
      <c r="A917" s="23"/>
      <c r="B917" s="23"/>
      <c r="F917" s="14"/>
      <c r="G917" s="24"/>
      <c r="J917" s="25"/>
    </row>
    <row r="918">
      <c r="A918" s="23"/>
      <c r="B918" s="23"/>
      <c r="F918" s="14"/>
      <c r="G918" s="24"/>
      <c r="J918" s="25"/>
    </row>
    <row r="919">
      <c r="A919" s="23"/>
      <c r="B919" s="23"/>
      <c r="F919" s="14"/>
      <c r="G919" s="24"/>
      <c r="J919" s="25"/>
    </row>
    <row r="920">
      <c r="A920" s="23"/>
      <c r="B920" s="23"/>
      <c r="F920" s="14"/>
      <c r="G920" s="24"/>
      <c r="J920" s="25"/>
    </row>
    <row r="921">
      <c r="A921" s="23"/>
      <c r="B921" s="23"/>
      <c r="F921" s="14"/>
      <c r="G921" s="24"/>
      <c r="J921" s="25"/>
    </row>
    <row r="922">
      <c r="A922" s="23"/>
      <c r="B922" s="23"/>
      <c r="F922" s="14"/>
      <c r="G922" s="24"/>
      <c r="J922" s="25"/>
    </row>
    <row r="923">
      <c r="A923" s="23"/>
      <c r="B923" s="23"/>
      <c r="F923" s="14"/>
      <c r="G923" s="24"/>
      <c r="J923" s="25"/>
    </row>
    <row r="924">
      <c r="A924" s="23"/>
      <c r="B924" s="23"/>
      <c r="F924" s="14"/>
      <c r="G924" s="24"/>
      <c r="J924" s="25"/>
    </row>
    <row r="925">
      <c r="A925" s="23"/>
      <c r="B925" s="23"/>
      <c r="F925" s="14"/>
      <c r="G925" s="24"/>
      <c r="J925" s="25"/>
    </row>
    <row r="926">
      <c r="A926" s="23"/>
      <c r="B926" s="23"/>
      <c r="F926" s="14"/>
      <c r="G926" s="24"/>
      <c r="J926" s="25"/>
    </row>
    <row r="927">
      <c r="A927" s="23"/>
      <c r="B927" s="23"/>
      <c r="F927" s="14"/>
      <c r="G927" s="24"/>
      <c r="J927" s="25"/>
    </row>
    <row r="928">
      <c r="A928" s="23"/>
      <c r="B928" s="23"/>
      <c r="F928" s="14"/>
      <c r="G928" s="24"/>
      <c r="J928" s="25"/>
    </row>
    <row r="929">
      <c r="A929" s="23"/>
      <c r="B929" s="23"/>
      <c r="F929" s="14"/>
      <c r="G929" s="24"/>
      <c r="J929" s="25"/>
    </row>
    <row r="930">
      <c r="A930" s="23"/>
      <c r="B930" s="23"/>
      <c r="F930" s="14"/>
      <c r="G930" s="24"/>
      <c r="J930" s="25"/>
    </row>
    <row r="931">
      <c r="A931" s="23"/>
      <c r="B931" s="23"/>
      <c r="F931" s="14"/>
      <c r="G931" s="24"/>
      <c r="J931" s="25"/>
    </row>
    <row r="932">
      <c r="A932" s="23"/>
      <c r="B932" s="23"/>
      <c r="F932" s="14"/>
      <c r="G932" s="24"/>
      <c r="J932" s="25"/>
    </row>
    <row r="933">
      <c r="A933" s="23"/>
      <c r="B933" s="23"/>
      <c r="F933" s="14"/>
      <c r="G933" s="24"/>
      <c r="J933" s="25"/>
    </row>
    <row r="934">
      <c r="A934" s="23"/>
      <c r="B934" s="23"/>
      <c r="F934" s="14"/>
      <c r="G934" s="24"/>
      <c r="J934" s="25"/>
    </row>
    <row r="935">
      <c r="A935" s="23"/>
      <c r="B935" s="23"/>
      <c r="F935" s="14"/>
      <c r="G935" s="24"/>
      <c r="J935" s="25"/>
    </row>
    <row r="936">
      <c r="A936" s="23"/>
      <c r="B936" s="23"/>
      <c r="F936" s="14"/>
      <c r="G936" s="24"/>
      <c r="J936" s="25"/>
    </row>
    <row r="937">
      <c r="A937" s="23"/>
      <c r="B937" s="23"/>
      <c r="F937" s="14"/>
      <c r="G937" s="24"/>
      <c r="J937" s="25"/>
    </row>
    <row r="938">
      <c r="A938" s="23"/>
      <c r="B938" s="23"/>
      <c r="F938" s="14"/>
      <c r="G938" s="24"/>
      <c r="J938" s="25"/>
    </row>
    <row r="939">
      <c r="A939" s="23"/>
      <c r="B939" s="23"/>
      <c r="F939" s="14"/>
      <c r="G939" s="24"/>
      <c r="J939" s="25"/>
    </row>
    <row r="940">
      <c r="A940" s="23"/>
      <c r="B940" s="23"/>
      <c r="F940" s="14"/>
      <c r="G940" s="24"/>
      <c r="J940" s="25"/>
    </row>
    <row r="941">
      <c r="A941" s="23"/>
      <c r="B941" s="23"/>
      <c r="F941" s="14"/>
      <c r="G941" s="24"/>
      <c r="J941" s="25"/>
    </row>
    <row r="942">
      <c r="A942" s="23"/>
      <c r="B942" s="23"/>
      <c r="F942" s="14"/>
      <c r="G942" s="24"/>
      <c r="J942" s="25"/>
    </row>
    <row r="943">
      <c r="A943" s="23"/>
      <c r="B943" s="23"/>
      <c r="F943" s="14"/>
      <c r="G943" s="24"/>
      <c r="J943" s="25"/>
    </row>
    <row r="944">
      <c r="A944" s="23"/>
      <c r="B944" s="23"/>
      <c r="F944" s="14"/>
      <c r="G944" s="24"/>
      <c r="J944" s="25"/>
    </row>
    <row r="945">
      <c r="A945" s="23"/>
      <c r="B945" s="23"/>
      <c r="F945" s="14"/>
      <c r="G945" s="24"/>
      <c r="J945" s="25"/>
    </row>
    <row r="946">
      <c r="A946" s="23"/>
      <c r="B946" s="23"/>
      <c r="F946" s="14"/>
      <c r="G946" s="24"/>
      <c r="J946" s="25"/>
    </row>
    <row r="947">
      <c r="A947" s="23"/>
      <c r="B947" s="23"/>
      <c r="F947" s="14"/>
      <c r="G947" s="24"/>
      <c r="J947" s="25"/>
    </row>
    <row r="948">
      <c r="A948" s="23"/>
      <c r="B948" s="23"/>
      <c r="F948" s="14"/>
      <c r="G948" s="24"/>
      <c r="J948" s="25"/>
    </row>
    <row r="949">
      <c r="A949" s="23"/>
      <c r="B949" s="23"/>
      <c r="F949" s="14"/>
      <c r="G949" s="24"/>
      <c r="J949" s="25"/>
    </row>
    <row r="950">
      <c r="A950" s="23"/>
      <c r="B950" s="23"/>
      <c r="F950" s="14"/>
      <c r="G950" s="24"/>
      <c r="J950" s="25"/>
    </row>
    <row r="951">
      <c r="A951" s="23"/>
      <c r="B951" s="23"/>
      <c r="F951" s="14"/>
      <c r="G951" s="24"/>
      <c r="J951" s="25"/>
    </row>
    <row r="952">
      <c r="A952" s="23"/>
      <c r="B952" s="23"/>
      <c r="F952" s="14"/>
      <c r="G952" s="24"/>
      <c r="J952" s="25"/>
    </row>
    <row r="953">
      <c r="A953" s="23"/>
      <c r="B953" s="23"/>
      <c r="F953" s="14"/>
      <c r="G953" s="24"/>
      <c r="J953" s="25"/>
    </row>
    <row r="954">
      <c r="A954" s="23"/>
      <c r="B954" s="23"/>
      <c r="F954" s="14"/>
      <c r="G954" s="24"/>
      <c r="J954" s="25"/>
    </row>
    <row r="955">
      <c r="A955" s="23"/>
      <c r="B955" s="23"/>
      <c r="F955" s="14"/>
      <c r="G955" s="24"/>
      <c r="J955" s="25"/>
    </row>
    <row r="956">
      <c r="A956" s="23"/>
      <c r="B956" s="23"/>
      <c r="F956" s="14"/>
      <c r="G956" s="24"/>
      <c r="J956" s="25"/>
    </row>
    <row r="957">
      <c r="A957" s="23"/>
      <c r="B957" s="23"/>
      <c r="F957" s="14"/>
      <c r="G957" s="24"/>
      <c r="J957" s="25"/>
    </row>
    <row r="958">
      <c r="A958" s="23"/>
      <c r="B958" s="23"/>
      <c r="F958" s="14"/>
      <c r="G958" s="24"/>
      <c r="J958" s="25"/>
    </row>
    <row r="959">
      <c r="A959" s="23"/>
      <c r="B959" s="23"/>
      <c r="F959" s="14"/>
      <c r="G959" s="24"/>
      <c r="J959" s="25"/>
    </row>
    <row r="960">
      <c r="A960" s="23"/>
      <c r="B960" s="23"/>
      <c r="F960" s="14"/>
      <c r="G960" s="24"/>
      <c r="J960" s="25"/>
    </row>
    <row r="961">
      <c r="A961" s="23"/>
      <c r="B961" s="23"/>
      <c r="F961" s="14"/>
      <c r="G961" s="24"/>
      <c r="J961" s="25"/>
    </row>
    <row r="962">
      <c r="A962" s="23"/>
      <c r="B962" s="23"/>
      <c r="F962" s="14"/>
      <c r="G962" s="24"/>
      <c r="J962" s="25"/>
    </row>
    <row r="963">
      <c r="A963" s="23"/>
      <c r="B963" s="23"/>
      <c r="F963" s="14"/>
      <c r="G963" s="24"/>
      <c r="J963" s="25"/>
    </row>
    <row r="964">
      <c r="A964" s="23"/>
      <c r="B964" s="23"/>
      <c r="F964" s="14"/>
      <c r="G964" s="24"/>
      <c r="J964" s="25"/>
    </row>
    <row r="965">
      <c r="A965" s="23"/>
      <c r="B965" s="23"/>
      <c r="F965" s="14"/>
      <c r="G965" s="24"/>
      <c r="J965" s="25"/>
    </row>
    <row r="966">
      <c r="A966" s="23"/>
      <c r="B966" s="23"/>
      <c r="F966" s="14"/>
      <c r="G966" s="24"/>
      <c r="J966" s="25"/>
    </row>
    <row r="967">
      <c r="A967" s="23"/>
      <c r="B967" s="23"/>
      <c r="F967" s="14"/>
      <c r="G967" s="24"/>
      <c r="J967" s="25"/>
    </row>
    <row r="968">
      <c r="A968" s="23"/>
      <c r="B968" s="23"/>
      <c r="F968" s="14"/>
      <c r="G968" s="24"/>
      <c r="J968" s="25"/>
    </row>
    <row r="969">
      <c r="A969" s="23"/>
      <c r="B969" s="23"/>
      <c r="F969" s="14"/>
      <c r="G969" s="24"/>
      <c r="J969" s="25"/>
    </row>
    <row r="970">
      <c r="A970" s="23"/>
      <c r="B970" s="23"/>
      <c r="F970" s="14"/>
      <c r="G970" s="24"/>
      <c r="J970" s="25"/>
    </row>
    <row r="971">
      <c r="A971" s="23"/>
      <c r="B971" s="23"/>
      <c r="F971" s="14"/>
      <c r="G971" s="24"/>
      <c r="J971" s="25"/>
    </row>
    <row r="972">
      <c r="A972" s="23"/>
      <c r="B972" s="23"/>
      <c r="F972" s="14"/>
      <c r="G972" s="24"/>
      <c r="J972" s="25"/>
    </row>
    <row r="973">
      <c r="A973" s="26"/>
      <c r="B973" s="14"/>
      <c r="C973" s="27"/>
      <c r="F973" s="14"/>
      <c r="G973" s="24"/>
      <c r="J973" s="25"/>
    </row>
    <row r="974">
      <c r="A974" s="26"/>
      <c r="B974" s="14"/>
      <c r="C974" s="27"/>
      <c r="F974" s="14"/>
      <c r="G974" s="24"/>
      <c r="J974" s="25"/>
    </row>
    <row r="975">
      <c r="A975" s="26"/>
      <c r="B975" s="14"/>
      <c r="C975" s="27"/>
      <c r="F975" s="14"/>
      <c r="G975" s="24"/>
      <c r="J975" s="25"/>
    </row>
    <row r="976">
      <c r="A976" s="26"/>
      <c r="B976" s="14"/>
      <c r="C976" s="27"/>
      <c r="F976" s="14"/>
      <c r="G976" s="24"/>
      <c r="J976" s="25"/>
    </row>
    <row r="977">
      <c r="A977" s="26"/>
      <c r="B977" s="14"/>
      <c r="C977" s="27"/>
      <c r="F977" s="14"/>
      <c r="G977" s="24"/>
      <c r="J977" s="25"/>
    </row>
    <row r="978">
      <c r="A978" s="26"/>
      <c r="B978" s="14"/>
      <c r="C978" s="27"/>
      <c r="F978" s="14"/>
      <c r="G978" s="24"/>
      <c r="J978" s="25"/>
    </row>
    <row r="979">
      <c r="A979" s="26"/>
      <c r="B979" s="14"/>
      <c r="C979" s="27"/>
      <c r="F979" s="14"/>
      <c r="G979" s="24"/>
      <c r="J979" s="25"/>
    </row>
    <row r="980">
      <c r="A980" s="26"/>
      <c r="B980" s="14"/>
      <c r="C980" s="27"/>
      <c r="F980" s="14"/>
      <c r="G980" s="24"/>
      <c r="J980" s="25"/>
    </row>
    <row r="981">
      <c r="A981" s="26"/>
      <c r="B981" s="14"/>
      <c r="C981" s="27"/>
      <c r="F981" s="14"/>
      <c r="G981" s="24"/>
      <c r="J981" s="25"/>
    </row>
    <row r="982">
      <c r="A982" s="26"/>
      <c r="B982" s="14"/>
      <c r="C982" s="27"/>
      <c r="F982" s="14"/>
      <c r="G982" s="24"/>
      <c r="J982" s="25"/>
    </row>
    <row r="983">
      <c r="A983" s="26"/>
      <c r="B983" s="14"/>
      <c r="C983" s="27"/>
      <c r="F983" s="14"/>
      <c r="G983" s="24"/>
      <c r="J983" s="25"/>
    </row>
    <row r="984">
      <c r="A984" s="26"/>
      <c r="B984" s="14"/>
      <c r="C984" s="27"/>
      <c r="F984" s="14"/>
      <c r="G984" s="24"/>
      <c r="J984" s="25"/>
    </row>
    <row r="985">
      <c r="A985" s="26"/>
      <c r="B985" s="14"/>
      <c r="C985" s="27"/>
      <c r="F985" s="14"/>
      <c r="G985" s="24"/>
      <c r="J985" s="25"/>
    </row>
    <row r="986">
      <c r="A986" s="26"/>
      <c r="B986" s="14"/>
      <c r="C986" s="27"/>
      <c r="F986" s="14"/>
      <c r="G986" s="24"/>
      <c r="J986" s="25"/>
    </row>
    <row r="987">
      <c r="A987" s="26"/>
      <c r="B987" s="14"/>
      <c r="C987" s="27"/>
      <c r="F987" s="14"/>
      <c r="G987" s="24"/>
      <c r="J987" s="25"/>
    </row>
    <row r="988">
      <c r="A988" s="26"/>
      <c r="B988" s="14"/>
      <c r="C988" s="27"/>
      <c r="F988" s="14"/>
      <c r="G988" s="24"/>
      <c r="J988" s="25"/>
    </row>
    <row r="989">
      <c r="A989" s="26"/>
      <c r="B989" s="14"/>
      <c r="C989" s="27"/>
      <c r="F989" s="14"/>
      <c r="G989" s="24"/>
      <c r="J989" s="25"/>
    </row>
    <row r="990">
      <c r="A990" s="26"/>
      <c r="B990" s="14"/>
      <c r="C990" s="27"/>
      <c r="F990" s="14"/>
      <c r="G990" s="24"/>
      <c r="J990" s="25"/>
    </row>
    <row r="991">
      <c r="A991" s="26"/>
      <c r="B991" s="14"/>
      <c r="C991" s="27"/>
      <c r="F991" s="14"/>
      <c r="G991" s="24"/>
      <c r="J991" s="25"/>
    </row>
    <row r="992">
      <c r="A992" s="26"/>
      <c r="B992" s="14"/>
      <c r="C992" s="27"/>
      <c r="F992" s="14"/>
      <c r="G992" s="24"/>
      <c r="J992" s="25"/>
    </row>
    <row r="993">
      <c r="A993" s="26"/>
      <c r="B993" s="14"/>
      <c r="C993" s="27"/>
      <c r="F993" s="14"/>
      <c r="G993" s="24"/>
      <c r="J993" s="25"/>
    </row>
    <row r="994">
      <c r="A994" s="26"/>
      <c r="B994" s="14"/>
      <c r="C994" s="27"/>
      <c r="F994" s="14"/>
      <c r="G994" s="24"/>
      <c r="J994" s="25"/>
    </row>
    <row r="995">
      <c r="A995" s="26"/>
      <c r="B995" s="14"/>
      <c r="C995" s="27"/>
      <c r="F995" s="14"/>
      <c r="G995" s="24"/>
      <c r="J995" s="25"/>
    </row>
    <row r="996">
      <c r="A996" s="26"/>
      <c r="B996" s="14"/>
      <c r="C996" s="27"/>
      <c r="F996" s="14"/>
      <c r="G996" s="24"/>
      <c r="J996" s="25"/>
    </row>
    <row r="997">
      <c r="A997" s="26"/>
      <c r="B997" s="14"/>
      <c r="C997" s="27"/>
      <c r="F997" s="14"/>
      <c r="G997" s="24"/>
      <c r="J997" s="25"/>
    </row>
    <row r="998">
      <c r="A998" s="26"/>
      <c r="B998" s="14"/>
      <c r="C998" s="27"/>
      <c r="F998" s="14"/>
      <c r="G998" s="24"/>
      <c r="J998" s="25"/>
    </row>
    <row r="999">
      <c r="A999" s="26"/>
      <c r="B999" s="14"/>
      <c r="C999" s="27"/>
      <c r="F999" s="14"/>
      <c r="G999" s="24"/>
      <c r="J999" s="25"/>
    </row>
    <row r="1000">
      <c r="A1000" s="26"/>
      <c r="B1000" s="14"/>
      <c r="C1000" s="27"/>
      <c r="F1000" s="14"/>
      <c r="G1000" s="24"/>
      <c r="J1000" s="25"/>
    </row>
    <row r="1001">
      <c r="A1001" s="26"/>
      <c r="B1001" s="14"/>
      <c r="C1001" s="27"/>
      <c r="F1001" s="14"/>
      <c r="G1001" s="24"/>
      <c r="J1001" s="25"/>
    </row>
    <row r="1002">
      <c r="A1002" s="26"/>
      <c r="B1002" s="14"/>
      <c r="C1002" s="27"/>
      <c r="F1002" s="14"/>
      <c r="G1002" s="24"/>
      <c r="J1002" s="25"/>
    </row>
    <row r="1003">
      <c r="A1003" s="26"/>
      <c r="B1003" s="14"/>
      <c r="C1003" s="27"/>
      <c r="F1003" s="14"/>
      <c r="G1003" s="24"/>
      <c r="J1003" s="25"/>
    </row>
    <row r="1004">
      <c r="A1004" s="26"/>
      <c r="B1004" s="14"/>
      <c r="C1004" s="27"/>
      <c r="F1004" s="14"/>
      <c r="G1004" s="24"/>
      <c r="J1004" s="25"/>
    </row>
    <row r="1005">
      <c r="A1005" s="26"/>
      <c r="B1005" s="14"/>
      <c r="C1005" s="27"/>
      <c r="F1005" s="14"/>
      <c r="G1005" s="24"/>
      <c r="J1005" s="25"/>
    </row>
    <row r="1006">
      <c r="A1006" s="26"/>
      <c r="B1006" s="14"/>
      <c r="C1006" s="27"/>
      <c r="F1006" s="14"/>
      <c r="G1006" s="24"/>
      <c r="J1006" s="25"/>
    </row>
    <row r="1007">
      <c r="A1007" s="26"/>
      <c r="B1007" s="14"/>
      <c r="C1007" s="27"/>
      <c r="F1007" s="14"/>
      <c r="G1007" s="24"/>
      <c r="J1007" s="25"/>
    </row>
    <row r="1008">
      <c r="A1008" s="26"/>
      <c r="B1008" s="14"/>
      <c r="C1008" s="27"/>
      <c r="F1008" s="14"/>
      <c r="G1008" s="24"/>
      <c r="J1008" s="25"/>
    </row>
    <row r="1009">
      <c r="A1009" s="26"/>
      <c r="B1009" s="14"/>
      <c r="C1009" s="27"/>
      <c r="F1009" s="14"/>
      <c r="G1009" s="24"/>
      <c r="J1009" s="25"/>
    </row>
    <row r="1010">
      <c r="A1010" s="26"/>
      <c r="B1010" s="14"/>
      <c r="C1010" s="27"/>
      <c r="F1010" s="14"/>
      <c r="G1010" s="24"/>
      <c r="J1010" s="25"/>
    </row>
    <row r="1011">
      <c r="A1011" s="26"/>
      <c r="B1011" s="14"/>
      <c r="C1011" s="27"/>
      <c r="F1011" s="14"/>
      <c r="G1011" s="24"/>
      <c r="J1011" s="25"/>
    </row>
    <row r="1012">
      <c r="A1012" s="26"/>
      <c r="B1012" s="14"/>
      <c r="C1012" s="27"/>
      <c r="F1012" s="14"/>
      <c r="G1012" s="24"/>
      <c r="J1012" s="25"/>
    </row>
    <row r="1013">
      <c r="A1013" s="26"/>
      <c r="B1013" s="14"/>
      <c r="C1013" s="27"/>
      <c r="F1013" s="14"/>
      <c r="G1013" s="24"/>
      <c r="J1013" s="25"/>
    </row>
    <row r="1014">
      <c r="A1014" s="26"/>
      <c r="B1014" s="14"/>
      <c r="C1014" s="27"/>
      <c r="F1014" s="14"/>
      <c r="G1014" s="24"/>
      <c r="J1014" s="25"/>
    </row>
    <row r="1015">
      <c r="A1015" s="26"/>
      <c r="B1015" s="14"/>
      <c r="C1015" s="27"/>
      <c r="F1015" s="14"/>
      <c r="G1015" s="24"/>
      <c r="J1015" s="25"/>
    </row>
    <row r="1016">
      <c r="A1016" s="26"/>
      <c r="B1016" s="14"/>
      <c r="C1016" s="27"/>
      <c r="F1016" s="14"/>
      <c r="G1016" s="24"/>
      <c r="J1016" s="25"/>
    </row>
    <row r="1017">
      <c r="A1017" s="26"/>
      <c r="B1017" s="14"/>
      <c r="C1017" s="27"/>
      <c r="F1017" s="14"/>
      <c r="G1017" s="24"/>
      <c r="J1017" s="25"/>
    </row>
    <row r="1018">
      <c r="A1018" s="26"/>
      <c r="B1018" s="14"/>
      <c r="C1018" s="27"/>
      <c r="F1018" s="14"/>
      <c r="G1018" s="24"/>
      <c r="J1018" s="25"/>
    </row>
    <row r="1019">
      <c r="A1019" s="26"/>
      <c r="B1019" s="14"/>
      <c r="C1019" s="27"/>
      <c r="F1019" s="14"/>
      <c r="G1019" s="24"/>
      <c r="J1019" s="25"/>
    </row>
    <row r="1020">
      <c r="A1020" s="26"/>
      <c r="B1020" s="14"/>
      <c r="C1020" s="27"/>
      <c r="F1020" s="14"/>
      <c r="G1020" s="24"/>
      <c r="J1020" s="25"/>
    </row>
    <row r="1021">
      <c r="A1021" s="26"/>
      <c r="B1021" s="14"/>
      <c r="C1021" s="27"/>
      <c r="F1021" s="14"/>
      <c r="G1021" s="24"/>
      <c r="J1021" s="25"/>
    </row>
    <row r="1022">
      <c r="A1022" s="26"/>
      <c r="B1022" s="14"/>
      <c r="C1022" s="27"/>
      <c r="F1022" s="14"/>
      <c r="G1022" s="24"/>
      <c r="J1022" s="25"/>
    </row>
    <row r="1023">
      <c r="A1023" s="26"/>
      <c r="B1023" s="14"/>
      <c r="C1023" s="27"/>
      <c r="F1023" s="14"/>
      <c r="G1023" s="24"/>
      <c r="J1023" s="25"/>
    </row>
    <row r="1024">
      <c r="A1024" s="26"/>
      <c r="B1024" s="14"/>
      <c r="C1024" s="27"/>
      <c r="F1024" s="14"/>
      <c r="G1024" s="24"/>
      <c r="J1024" s="25"/>
    </row>
    <row r="1025">
      <c r="A1025" s="26"/>
      <c r="B1025" s="14"/>
      <c r="C1025" s="27"/>
      <c r="F1025" s="14"/>
      <c r="G1025" s="24"/>
      <c r="J1025" s="25"/>
    </row>
    <row r="1026">
      <c r="A1026" s="26"/>
      <c r="B1026" s="14"/>
      <c r="C1026" s="27"/>
      <c r="F1026" s="14"/>
      <c r="G1026" s="24"/>
      <c r="J1026" s="25"/>
    </row>
    <row r="1027">
      <c r="A1027" s="26"/>
      <c r="B1027" s="14"/>
      <c r="C1027" s="27"/>
      <c r="F1027" s="14"/>
      <c r="G1027" s="24"/>
      <c r="J1027" s="25"/>
    </row>
    <row r="1028">
      <c r="A1028" s="26"/>
      <c r="B1028" s="14"/>
      <c r="C1028" s="27"/>
      <c r="F1028" s="14"/>
      <c r="G1028" s="24"/>
      <c r="J1028" s="25"/>
    </row>
    <row r="1029">
      <c r="A1029" s="26"/>
      <c r="B1029" s="14"/>
      <c r="C1029" s="27"/>
      <c r="F1029" s="14"/>
      <c r="G1029" s="24"/>
      <c r="J1029" s="25"/>
    </row>
    <row r="1030">
      <c r="A1030" s="26"/>
      <c r="B1030" s="14"/>
      <c r="C1030" s="27"/>
      <c r="F1030" s="14"/>
      <c r="G1030" s="24"/>
      <c r="J1030" s="25"/>
    </row>
    <row r="1031">
      <c r="A1031" s="26"/>
      <c r="B1031" s="14"/>
      <c r="C1031" s="27"/>
      <c r="F1031" s="14"/>
      <c r="G1031" s="24"/>
      <c r="J1031" s="25"/>
    </row>
    <row r="1032">
      <c r="A1032" s="26"/>
      <c r="B1032" s="14"/>
      <c r="C1032" s="27"/>
      <c r="F1032" s="14"/>
      <c r="G1032" s="24"/>
      <c r="J1032" s="25"/>
    </row>
    <row r="1033">
      <c r="A1033" s="26"/>
      <c r="B1033" s="14"/>
      <c r="C1033" s="27"/>
      <c r="F1033" s="14"/>
      <c r="G1033" s="24"/>
      <c r="J1033" s="25"/>
    </row>
    <row r="1034">
      <c r="A1034" s="26"/>
      <c r="B1034" s="14"/>
      <c r="C1034" s="27"/>
      <c r="F1034" s="14"/>
      <c r="G1034" s="24"/>
      <c r="J1034" s="25"/>
    </row>
    <row r="1035">
      <c r="A1035" s="26"/>
      <c r="B1035" s="14"/>
      <c r="C1035" s="27"/>
      <c r="F1035" s="14"/>
      <c r="G1035" s="24"/>
      <c r="J1035" s="25"/>
    </row>
    <row r="1036">
      <c r="A1036" s="26"/>
      <c r="B1036" s="14"/>
      <c r="C1036" s="27"/>
      <c r="F1036" s="14"/>
      <c r="G1036" s="24"/>
      <c r="J1036" s="25"/>
    </row>
    <row r="1037">
      <c r="A1037" s="26"/>
      <c r="B1037" s="14"/>
      <c r="C1037" s="27"/>
      <c r="F1037" s="14"/>
      <c r="G1037" s="24"/>
      <c r="J1037" s="25"/>
    </row>
    <row r="1038">
      <c r="A1038" s="26"/>
      <c r="B1038" s="14"/>
      <c r="C1038" s="27"/>
      <c r="F1038" s="14"/>
      <c r="G1038" s="24"/>
      <c r="J1038" s="25"/>
    </row>
    <row r="1039">
      <c r="A1039" s="26"/>
      <c r="B1039" s="14"/>
      <c r="C1039" s="27"/>
      <c r="F1039" s="14"/>
      <c r="G1039" s="24"/>
      <c r="J1039" s="25"/>
    </row>
    <row r="1040">
      <c r="A1040" s="26"/>
      <c r="B1040" s="14"/>
      <c r="C1040" s="27"/>
      <c r="F1040" s="14"/>
      <c r="G1040" s="24"/>
      <c r="J1040" s="25"/>
    </row>
    <row r="1041">
      <c r="A1041" s="26"/>
      <c r="B1041" s="14"/>
      <c r="C1041" s="27"/>
      <c r="F1041" s="14"/>
      <c r="G1041" s="24"/>
      <c r="J1041" s="25"/>
    </row>
    <row r="1042">
      <c r="A1042" s="26"/>
      <c r="B1042" s="14"/>
      <c r="C1042" s="27"/>
      <c r="F1042" s="14"/>
      <c r="G1042" s="24"/>
      <c r="J1042" s="25"/>
    </row>
    <row r="1043">
      <c r="A1043" s="26"/>
      <c r="B1043" s="14"/>
      <c r="C1043" s="27"/>
      <c r="F1043" s="14"/>
      <c r="G1043" s="24"/>
      <c r="J1043" s="25"/>
    </row>
    <row r="1044">
      <c r="A1044" s="26"/>
      <c r="B1044" s="14"/>
      <c r="C1044" s="27"/>
      <c r="F1044" s="14"/>
      <c r="G1044" s="24"/>
      <c r="J1044" s="25"/>
    </row>
    <row r="1045">
      <c r="A1045" s="26"/>
      <c r="B1045" s="14"/>
      <c r="C1045" s="27"/>
      <c r="F1045" s="14"/>
      <c r="G1045" s="24"/>
      <c r="J1045" s="25"/>
    </row>
    <row r="1046">
      <c r="A1046" s="26"/>
      <c r="B1046" s="14"/>
      <c r="C1046" s="27"/>
      <c r="F1046" s="14"/>
      <c r="G1046" s="24"/>
      <c r="J1046" s="25"/>
    </row>
    <row r="1047">
      <c r="A1047" s="26"/>
      <c r="B1047" s="14"/>
      <c r="C1047" s="27"/>
      <c r="F1047" s="14"/>
      <c r="G1047" s="24"/>
      <c r="J1047" s="25"/>
    </row>
    <row r="1048">
      <c r="A1048" s="26"/>
      <c r="B1048" s="14"/>
      <c r="C1048" s="27"/>
      <c r="F1048" s="14"/>
      <c r="G1048" s="24"/>
      <c r="J1048" s="25"/>
    </row>
    <row r="1049">
      <c r="A1049" s="26"/>
      <c r="B1049" s="14"/>
      <c r="C1049" s="27"/>
      <c r="F1049" s="14"/>
      <c r="G1049" s="24"/>
      <c r="J1049" s="25"/>
    </row>
    <row r="1050">
      <c r="A1050" s="26"/>
      <c r="B1050" s="14"/>
      <c r="C1050" s="27"/>
      <c r="F1050" s="14"/>
      <c r="G1050" s="24"/>
      <c r="J1050" s="25"/>
    </row>
    <row r="1051">
      <c r="A1051" s="26"/>
      <c r="B1051" s="14"/>
      <c r="C1051" s="27"/>
      <c r="F1051" s="14"/>
      <c r="G1051" s="24"/>
      <c r="J1051" s="25"/>
    </row>
    <row r="1052">
      <c r="A1052" s="26"/>
      <c r="B1052" s="14"/>
      <c r="C1052" s="27"/>
      <c r="F1052" s="14"/>
      <c r="G1052" s="24"/>
      <c r="J1052" s="25"/>
    </row>
    <row r="1053">
      <c r="A1053" s="26"/>
      <c r="B1053" s="14"/>
      <c r="C1053" s="27"/>
      <c r="F1053" s="14"/>
      <c r="G1053" s="24"/>
      <c r="J1053" s="25"/>
    </row>
    <row r="1054">
      <c r="A1054" s="26"/>
      <c r="B1054" s="14"/>
      <c r="C1054" s="27"/>
      <c r="F1054" s="14"/>
      <c r="G1054" s="24"/>
      <c r="J1054" s="25"/>
    </row>
    <row r="1055">
      <c r="A1055" s="26"/>
      <c r="B1055" s="14"/>
      <c r="C1055" s="27"/>
      <c r="F1055" s="14"/>
      <c r="G1055" s="24"/>
      <c r="J1055" s="25"/>
    </row>
    <row r="1056">
      <c r="A1056" s="26"/>
      <c r="B1056" s="14"/>
      <c r="C1056" s="27"/>
      <c r="F1056" s="14"/>
      <c r="G1056" s="24"/>
      <c r="J1056" s="25"/>
    </row>
    <row r="1057">
      <c r="A1057" s="26"/>
      <c r="B1057" s="14"/>
      <c r="C1057" s="27"/>
      <c r="F1057" s="14"/>
      <c r="G1057" s="24"/>
      <c r="J1057" s="25"/>
    </row>
    <row r="1058">
      <c r="A1058" s="26"/>
      <c r="B1058" s="14"/>
      <c r="C1058" s="27"/>
      <c r="F1058" s="14"/>
      <c r="G1058" s="24"/>
      <c r="J1058" s="25"/>
    </row>
    <row r="1059">
      <c r="A1059" s="26"/>
      <c r="B1059" s="14"/>
      <c r="C1059" s="27"/>
      <c r="F1059" s="14"/>
      <c r="G1059" s="24"/>
      <c r="J1059" s="25"/>
    </row>
    <row r="1060">
      <c r="A1060" s="26"/>
      <c r="B1060" s="14"/>
      <c r="C1060" s="27"/>
      <c r="F1060" s="14"/>
      <c r="G1060" s="24"/>
      <c r="J1060" s="25"/>
    </row>
    <row r="1061">
      <c r="A1061" s="26"/>
      <c r="B1061" s="14"/>
      <c r="C1061" s="27"/>
      <c r="F1061" s="14"/>
      <c r="G1061" s="24"/>
      <c r="J1061" s="25"/>
    </row>
    <row r="1062">
      <c r="A1062" s="26"/>
      <c r="B1062" s="14"/>
      <c r="C1062" s="27"/>
      <c r="F1062" s="14"/>
      <c r="G1062" s="24"/>
      <c r="J1062" s="25"/>
    </row>
    <row r="1063">
      <c r="A1063" s="26"/>
      <c r="B1063" s="14"/>
      <c r="C1063" s="27"/>
      <c r="F1063" s="14"/>
      <c r="G1063" s="24"/>
      <c r="J1063" s="25"/>
    </row>
    <row r="1064">
      <c r="A1064" s="26"/>
      <c r="B1064" s="14"/>
      <c r="C1064" s="27"/>
      <c r="F1064" s="14"/>
      <c r="G1064" s="24"/>
      <c r="J1064" s="25"/>
    </row>
    <row r="1065">
      <c r="A1065" s="26"/>
      <c r="B1065" s="14"/>
      <c r="C1065" s="27"/>
      <c r="F1065" s="14"/>
      <c r="G1065" s="24"/>
      <c r="J1065" s="25"/>
    </row>
    <row r="1066">
      <c r="A1066" s="26"/>
      <c r="B1066" s="14"/>
      <c r="C1066" s="27"/>
      <c r="F1066" s="14"/>
      <c r="G1066" s="24"/>
      <c r="J1066" s="25"/>
    </row>
    <row r="1067">
      <c r="A1067" s="26"/>
      <c r="B1067" s="14"/>
      <c r="C1067" s="27"/>
      <c r="F1067" s="14"/>
      <c r="G1067" s="24"/>
      <c r="J1067" s="25"/>
    </row>
    <row r="1068">
      <c r="A1068" s="26"/>
      <c r="B1068" s="14"/>
      <c r="C1068" s="27"/>
      <c r="F1068" s="14"/>
      <c r="G1068" s="24"/>
      <c r="J1068" s="25"/>
    </row>
    <row r="1069">
      <c r="A1069" s="26"/>
      <c r="B1069" s="14"/>
      <c r="C1069" s="27"/>
      <c r="F1069" s="14"/>
      <c r="G1069" s="24"/>
      <c r="J1069" s="25"/>
    </row>
    <row r="1070">
      <c r="A1070" s="26"/>
      <c r="B1070" s="14"/>
      <c r="C1070" s="27"/>
      <c r="F1070" s="14"/>
      <c r="G1070" s="24"/>
      <c r="J1070" s="25"/>
    </row>
    <row r="1071">
      <c r="A1071" s="26"/>
      <c r="B1071" s="14"/>
      <c r="C1071" s="27"/>
      <c r="F1071" s="14"/>
      <c r="G1071" s="24"/>
      <c r="J1071" s="25"/>
    </row>
    <row r="1072">
      <c r="A1072" s="26"/>
      <c r="B1072" s="14"/>
      <c r="C1072" s="27"/>
      <c r="F1072" s="14"/>
      <c r="G1072" s="24"/>
      <c r="J1072" s="25"/>
    </row>
    <row r="1073">
      <c r="A1073" s="26"/>
      <c r="B1073" s="14"/>
      <c r="C1073" s="27"/>
      <c r="F1073" s="14"/>
      <c r="G1073" s="24"/>
      <c r="J1073" s="25"/>
    </row>
    <row r="1074">
      <c r="A1074" s="26"/>
      <c r="B1074" s="14"/>
      <c r="C1074" s="27"/>
      <c r="F1074" s="14"/>
      <c r="G1074" s="24"/>
      <c r="J1074" s="25"/>
    </row>
    <row r="1075">
      <c r="A1075" s="26"/>
      <c r="B1075" s="14"/>
      <c r="C1075" s="27"/>
      <c r="F1075" s="14"/>
      <c r="G1075" s="24"/>
      <c r="J1075" s="25"/>
    </row>
    <row r="1076">
      <c r="A1076" s="26"/>
      <c r="B1076" s="14"/>
      <c r="C1076" s="27"/>
      <c r="F1076" s="14"/>
      <c r="G1076" s="24"/>
      <c r="J1076" s="25"/>
    </row>
    <row r="1077">
      <c r="A1077" s="26"/>
      <c r="B1077" s="14"/>
      <c r="C1077" s="27"/>
      <c r="F1077" s="14"/>
      <c r="G1077" s="24"/>
      <c r="J1077" s="25"/>
    </row>
    <row r="1078">
      <c r="A1078" s="26"/>
      <c r="B1078" s="14"/>
      <c r="C1078" s="27"/>
      <c r="F1078" s="14"/>
      <c r="G1078" s="24"/>
      <c r="J1078" s="25"/>
    </row>
    <row r="1079">
      <c r="A1079" s="26"/>
      <c r="B1079" s="14"/>
      <c r="C1079" s="27"/>
      <c r="F1079" s="14"/>
      <c r="G1079" s="24"/>
      <c r="J1079" s="25"/>
    </row>
    <row r="1080">
      <c r="A1080" s="26"/>
      <c r="B1080" s="14"/>
      <c r="C1080" s="27"/>
      <c r="F1080" s="14"/>
      <c r="G1080" s="24"/>
      <c r="J1080" s="25"/>
    </row>
    <row r="1081">
      <c r="A1081" s="26"/>
      <c r="B1081" s="14"/>
      <c r="C1081" s="27"/>
      <c r="F1081" s="14"/>
      <c r="G1081" s="24"/>
      <c r="J1081" s="25"/>
    </row>
    <row r="1082">
      <c r="A1082" s="26"/>
      <c r="B1082" s="14"/>
      <c r="C1082" s="27"/>
      <c r="F1082" s="14"/>
      <c r="G1082" s="24"/>
      <c r="J1082" s="25"/>
    </row>
    <row r="1083">
      <c r="A1083" s="26"/>
      <c r="B1083" s="14"/>
      <c r="C1083" s="27"/>
      <c r="F1083" s="14"/>
      <c r="G1083" s="24"/>
      <c r="J1083" s="25"/>
    </row>
    <row r="1084">
      <c r="A1084" s="26"/>
      <c r="B1084" s="14"/>
      <c r="C1084" s="27"/>
      <c r="F1084" s="14"/>
      <c r="G1084" s="24"/>
      <c r="J1084" s="25"/>
    </row>
    <row r="1085">
      <c r="A1085" s="26"/>
      <c r="B1085" s="14"/>
      <c r="C1085" s="27"/>
      <c r="F1085" s="14"/>
      <c r="G1085" s="24"/>
      <c r="J1085" s="25"/>
    </row>
    <row r="1086">
      <c r="A1086" s="26"/>
      <c r="B1086" s="14"/>
      <c r="C1086" s="27"/>
      <c r="F1086" s="14"/>
      <c r="G1086" s="24"/>
      <c r="J1086" s="25"/>
    </row>
    <row r="1087">
      <c r="A1087" s="26"/>
      <c r="B1087" s="14"/>
      <c r="C1087" s="27"/>
      <c r="F1087" s="14"/>
      <c r="G1087" s="24"/>
      <c r="J1087" s="25"/>
    </row>
    <row r="1088">
      <c r="A1088" s="26"/>
      <c r="B1088" s="14"/>
      <c r="C1088" s="27"/>
      <c r="F1088" s="14"/>
      <c r="G1088" s="24"/>
      <c r="J1088" s="25"/>
    </row>
    <row r="1089">
      <c r="A1089" s="26"/>
      <c r="B1089" s="14"/>
      <c r="C1089" s="27"/>
      <c r="F1089" s="14"/>
      <c r="G1089" s="24"/>
      <c r="J1089" s="25"/>
    </row>
    <row r="1090">
      <c r="A1090" s="26"/>
      <c r="B1090" s="14"/>
      <c r="C1090" s="27"/>
      <c r="F1090" s="14"/>
      <c r="G1090" s="24"/>
      <c r="J1090" s="25"/>
    </row>
    <row r="1091">
      <c r="A1091" s="26"/>
      <c r="B1091" s="14"/>
      <c r="C1091" s="27"/>
      <c r="F1091" s="14"/>
      <c r="G1091" s="24"/>
      <c r="J1091" s="25"/>
    </row>
    <row r="1092">
      <c r="A1092" s="26"/>
      <c r="B1092" s="14"/>
      <c r="C1092" s="27"/>
      <c r="F1092" s="14"/>
      <c r="G1092" s="24"/>
      <c r="J1092" s="25"/>
    </row>
    <row r="1093">
      <c r="A1093" s="26"/>
      <c r="B1093" s="14"/>
      <c r="C1093" s="27"/>
      <c r="F1093" s="14"/>
      <c r="G1093" s="24"/>
      <c r="J1093" s="25"/>
    </row>
    <row r="1094">
      <c r="A1094" s="26"/>
      <c r="B1094" s="14"/>
      <c r="C1094" s="27"/>
      <c r="F1094" s="14"/>
      <c r="G1094" s="24"/>
      <c r="J1094" s="25"/>
    </row>
    <row r="1095">
      <c r="A1095" s="26"/>
      <c r="B1095" s="14"/>
      <c r="C1095" s="27"/>
      <c r="F1095" s="14"/>
      <c r="G1095" s="24"/>
      <c r="J1095" s="25"/>
    </row>
    <row r="1096">
      <c r="A1096" s="26"/>
      <c r="B1096" s="14"/>
      <c r="C1096" s="27"/>
      <c r="F1096" s="14"/>
      <c r="G1096" s="24"/>
      <c r="J1096" s="25"/>
    </row>
    <row r="1097">
      <c r="A1097" s="26"/>
      <c r="B1097" s="14"/>
      <c r="C1097" s="27"/>
      <c r="F1097" s="14"/>
      <c r="G1097" s="24"/>
      <c r="J1097" s="25"/>
    </row>
    <row r="1098">
      <c r="A1098" s="26"/>
      <c r="B1098" s="14"/>
      <c r="C1098" s="27"/>
      <c r="F1098" s="14"/>
      <c r="G1098" s="24"/>
      <c r="J1098" s="25"/>
    </row>
    <row r="1099">
      <c r="A1099" s="26"/>
      <c r="B1099" s="14"/>
      <c r="C1099" s="27"/>
      <c r="F1099" s="14"/>
      <c r="G1099" s="24"/>
      <c r="J1099" s="25"/>
    </row>
    <row r="1100">
      <c r="A1100" s="26"/>
      <c r="B1100" s="14"/>
      <c r="C1100" s="27"/>
      <c r="F1100" s="14"/>
      <c r="G1100" s="24"/>
      <c r="J1100" s="25"/>
    </row>
    <row r="1101">
      <c r="A1101" s="26"/>
      <c r="B1101" s="14"/>
      <c r="C1101" s="27"/>
      <c r="F1101" s="14"/>
      <c r="G1101" s="24"/>
      <c r="J1101" s="25"/>
    </row>
    <row r="1102">
      <c r="A1102" s="26"/>
      <c r="B1102" s="14"/>
      <c r="C1102" s="27"/>
      <c r="F1102" s="14"/>
      <c r="G1102" s="24"/>
      <c r="J1102" s="25"/>
    </row>
    <row r="1103">
      <c r="A1103" s="26"/>
      <c r="B1103" s="14"/>
      <c r="C1103" s="27"/>
      <c r="F1103" s="14"/>
      <c r="G1103" s="24"/>
      <c r="J1103" s="25"/>
    </row>
    <row r="1104">
      <c r="A1104" s="26"/>
      <c r="B1104" s="14"/>
      <c r="C1104" s="27"/>
      <c r="F1104" s="14"/>
      <c r="G1104" s="24"/>
      <c r="J1104" s="25"/>
    </row>
    <row r="1105">
      <c r="A1105" s="26"/>
      <c r="B1105" s="14"/>
      <c r="C1105" s="27"/>
      <c r="F1105" s="14"/>
      <c r="G1105" s="24"/>
      <c r="J1105" s="25"/>
    </row>
    <row r="1106">
      <c r="A1106" s="26"/>
      <c r="B1106" s="14"/>
      <c r="C1106" s="27"/>
      <c r="F1106" s="14"/>
      <c r="G1106" s="24"/>
      <c r="J1106" s="25"/>
    </row>
    <row r="1107">
      <c r="A1107" s="26"/>
      <c r="B1107" s="14"/>
      <c r="C1107" s="27"/>
      <c r="F1107" s="14"/>
      <c r="G1107" s="24"/>
      <c r="J1107" s="25"/>
    </row>
    <row r="1108">
      <c r="A1108" s="26"/>
      <c r="B1108" s="14"/>
      <c r="C1108" s="27"/>
      <c r="F1108" s="14"/>
      <c r="G1108" s="24"/>
      <c r="J1108" s="25"/>
    </row>
    <row r="1109">
      <c r="A1109" s="26"/>
      <c r="B1109" s="14"/>
      <c r="C1109" s="27"/>
      <c r="F1109" s="14"/>
      <c r="G1109" s="24"/>
      <c r="J1109" s="25"/>
    </row>
    <row r="1110">
      <c r="A1110" s="26"/>
      <c r="B1110" s="14"/>
      <c r="C1110" s="27"/>
      <c r="F1110" s="14"/>
      <c r="G1110" s="24"/>
      <c r="J1110" s="25"/>
    </row>
    <row r="1111">
      <c r="A1111" s="26"/>
      <c r="B1111" s="14"/>
      <c r="C1111" s="27"/>
      <c r="F1111" s="14"/>
      <c r="G1111" s="24"/>
      <c r="J1111" s="25"/>
    </row>
    <row r="1112">
      <c r="A1112" s="26"/>
      <c r="B1112" s="14"/>
      <c r="C1112" s="27"/>
      <c r="F1112" s="14"/>
      <c r="G1112" s="24"/>
      <c r="J1112" s="25"/>
    </row>
    <row r="1113">
      <c r="A1113" s="26"/>
      <c r="B1113" s="14"/>
      <c r="C1113" s="27"/>
      <c r="F1113" s="14"/>
      <c r="G1113" s="24"/>
      <c r="J1113" s="25"/>
    </row>
    <row r="1114">
      <c r="A1114" s="26"/>
      <c r="B1114" s="14"/>
      <c r="C1114" s="27"/>
      <c r="F1114" s="14"/>
      <c r="G1114" s="24"/>
      <c r="J1114" s="25"/>
    </row>
    <row r="1115">
      <c r="A1115" s="26"/>
      <c r="B1115" s="14"/>
      <c r="C1115" s="27"/>
      <c r="F1115" s="14"/>
      <c r="G1115" s="24"/>
      <c r="J1115" s="25"/>
    </row>
    <row r="1116">
      <c r="A1116" s="26"/>
      <c r="B1116" s="14"/>
      <c r="C1116" s="27"/>
      <c r="F1116" s="14"/>
      <c r="G1116" s="24"/>
      <c r="J1116" s="25"/>
    </row>
    <row r="1117">
      <c r="A1117" s="26"/>
      <c r="B1117" s="14"/>
      <c r="C1117" s="27"/>
      <c r="F1117" s="14"/>
      <c r="G1117" s="24"/>
      <c r="J1117" s="25"/>
    </row>
    <row r="1118">
      <c r="A1118" s="26"/>
      <c r="B1118" s="14"/>
      <c r="C1118" s="27"/>
      <c r="F1118" s="14"/>
      <c r="G1118" s="24"/>
      <c r="J1118" s="25"/>
    </row>
    <row r="1119">
      <c r="A1119" s="26"/>
      <c r="B1119" s="14"/>
      <c r="C1119" s="27"/>
      <c r="F1119" s="14"/>
      <c r="G1119" s="24"/>
      <c r="J1119" s="25"/>
    </row>
    <row r="1120">
      <c r="A1120" s="26"/>
      <c r="B1120" s="14"/>
      <c r="C1120" s="27"/>
      <c r="F1120" s="14"/>
      <c r="G1120" s="24"/>
      <c r="J1120" s="25"/>
    </row>
    <row r="1121">
      <c r="A1121" s="26"/>
      <c r="B1121" s="14"/>
      <c r="C1121" s="27"/>
      <c r="F1121" s="14"/>
      <c r="G1121" s="24"/>
      <c r="J1121" s="25"/>
    </row>
    <row r="1122">
      <c r="A1122" s="26"/>
      <c r="B1122" s="14"/>
      <c r="C1122" s="27"/>
      <c r="F1122" s="14"/>
      <c r="G1122" s="24"/>
      <c r="J1122" s="25"/>
    </row>
    <row r="1123">
      <c r="A1123" s="26"/>
      <c r="B1123" s="14"/>
      <c r="C1123" s="27"/>
      <c r="F1123" s="14"/>
      <c r="G1123" s="24"/>
      <c r="J1123" s="25"/>
    </row>
    <row r="1124">
      <c r="A1124" s="26"/>
      <c r="B1124" s="14"/>
      <c r="C1124" s="27"/>
      <c r="F1124" s="14"/>
      <c r="G1124" s="24"/>
      <c r="J1124" s="25"/>
    </row>
    <row r="1125">
      <c r="A1125" s="26"/>
      <c r="B1125" s="14"/>
      <c r="C1125" s="27"/>
      <c r="F1125" s="14"/>
      <c r="G1125" s="24"/>
      <c r="J1125" s="25"/>
    </row>
    <row r="1126">
      <c r="A1126" s="26"/>
      <c r="B1126" s="14"/>
      <c r="C1126" s="27"/>
      <c r="F1126" s="14"/>
      <c r="G1126" s="24"/>
      <c r="J1126" s="25"/>
    </row>
    <row r="1127">
      <c r="A1127" s="26"/>
      <c r="B1127" s="14"/>
      <c r="C1127" s="27"/>
      <c r="F1127" s="14"/>
      <c r="G1127" s="24"/>
      <c r="J1127" s="25"/>
    </row>
    <row r="1128">
      <c r="A1128" s="26"/>
      <c r="B1128" s="14"/>
      <c r="C1128" s="27"/>
      <c r="F1128" s="14"/>
      <c r="G1128" s="24"/>
      <c r="J1128" s="25"/>
    </row>
    <row r="1129">
      <c r="A1129" s="26"/>
      <c r="B1129" s="14"/>
      <c r="C1129" s="27"/>
      <c r="F1129" s="14"/>
      <c r="G1129" s="24"/>
      <c r="J1129" s="25"/>
    </row>
    <row r="1130">
      <c r="A1130" s="26"/>
      <c r="B1130" s="14"/>
      <c r="C1130" s="27"/>
      <c r="F1130" s="14"/>
      <c r="G1130" s="24"/>
      <c r="J1130" s="25"/>
    </row>
    <row r="1131">
      <c r="A1131" s="26"/>
      <c r="B1131" s="14"/>
      <c r="C1131" s="27"/>
      <c r="F1131" s="14"/>
      <c r="G1131" s="24"/>
      <c r="J1131" s="25"/>
    </row>
    <row r="1132">
      <c r="A1132" s="26"/>
      <c r="B1132" s="14"/>
      <c r="C1132" s="27"/>
      <c r="F1132" s="14"/>
      <c r="G1132" s="24"/>
      <c r="J1132" s="25"/>
    </row>
    <row r="1133">
      <c r="A1133" s="26"/>
      <c r="B1133" s="14"/>
      <c r="C1133" s="27"/>
      <c r="F1133" s="14"/>
      <c r="G1133" s="24"/>
      <c r="J1133" s="25"/>
    </row>
    <row r="1134">
      <c r="A1134" s="26"/>
      <c r="B1134" s="14"/>
      <c r="C1134" s="27"/>
      <c r="F1134" s="14"/>
      <c r="G1134" s="24"/>
      <c r="J1134" s="25"/>
    </row>
    <row r="1135">
      <c r="A1135" s="26"/>
      <c r="B1135" s="14"/>
      <c r="C1135" s="27"/>
      <c r="F1135" s="14"/>
      <c r="G1135" s="24"/>
      <c r="J1135" s="25"/>
    </row>
    <row r="1136">
      <c r="A1136" s="26"/>
      <c r="B1136" s="14"/>
      <c r="C1136" s="27"/>
      <c r="F1136" s="14"/>
      <c r="G1136" s="24"/>
      <c r="J1136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4"/>
      <c r="B1" s="28"/>
      <c r="C1" s="24"/>
      <c r="D1" s="24"/>
      <c r="E1" s="28"/>
      <c r="F1" s="23"/>
      <c r="G1" s="28"/>
      <c r="H1" s="24"/>
      <c r="I1" s="24"/>
      <c r="J1" s="24"/>
      <c r="K1" s="24"/>
      <c r="L1" s="29"/>
      <c r="M1" s="29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>
      <c r="A2" s="30" t="str">
        <f t="shared" ref="A2:A363" si="1">LEFT(B2,FIND(" ",B2,1+FIND(" ",B2))-1)</f>
        <v>Giannis Antetokounmpo</v>
      </c>
      <c r="B2" s="23" t="s">
        <v>252</v>
      </c>
      <c r="C2" s="31">
        <v>52.9</v>
      </c>
      <c r="D2" s="32"/>
      <c r="E2" s="23" t="s">
        <v>252</v>
      </c>
      <c r="F2" s="16">
        <v>13.0</v>
      </c>
      <c r="G2" s="33" t="s">
        <v>253</v>
      </c>
      <c r="H2" s="16" t="s">
        <v>254</v>
      </c>
      <c r="I2" s="16" t="s">
        <v>255</v>
      </c>
      <c r="J2" s="16">
        <v>231.0</v>
      </c>
      <c r="K2" s="34">
        <v>118.5</v>
      </c>
      <c r="L2" s="35">
        <v>1.0</v>
      </c>
      <c r="M2" s="22">
        <v>0.0</v>
      </c>
      <c r="N2" s="36">
        <v>-1.0</v>
      </c>
      <c r="O2" s="31">
        <v>52.9</v>
      </c>
      <c r="P2" s="22">
        <v>11100.0</v>
      </c>
      <c r="Q2" s="22">
        <v>210.0</v>
      </c>
      <c r="R2" s="22"/>
      <c r="S2" s="22"/>
      <c r="T2" s="24"/>
      <c r="U2" s="24"/>
      <c r="V2" s="24"/>
      <c r="W2" s="24"/>
      <c r="X2" s="24"/>
      <c r="Y2" s="24"/>
      <c r="Z2" s="24"/>
      <c r="AA2" s="24"/>
      <c r="AB2" s="24"/>
    </row>
    <row r="3">
      <c r="A3" s="30" t="str">
        <f t="shared" si="1"/>
        <v>Stephen Curry</v>
      </c>
      <c r="B3" s="23" t="s">
        <v>256</v>
      </c>
      <c r="C3" s="31">
        <v>51.3</v>
      </c>
      <c r="D3" s="32"/>
      <c r="E3" s="23" t="s">
        <v>256</v>
      </c>
      <c r="F3" s="16">
        <v>1.0</v>
      </c>
      <c r="G3" s="33" t="s">
        <v>257</v>
      </c>
      <c r="H3" s="16" t="s">
        <v>258</v>
      </c>
      <c r="I3" s="16" t="s">
        <v>259</v>
      </c>
      <c r="J3" s="16">
        <v>224.5</v>
      </c>
      <c r="K3" s="16">
        <v>115.5</v>
      </c>
      <c r="L3" s="35">
        <v>1.0</v>
      </c>
      <c r="M3" s="22">
        <v>1.0</v>
      </c>
      <c r="N3" s="36">
        <v>0.0</v>
      </c>
      <c r="O3" s="31">
        <v>51.3</v>
      </c>
      <c r="P3" s="22">
        <v>10500.0</v>
      </c>
      <c r="Q3" s="22">
        <v>205.0</v>
      </c>
      <c r="R3" s="22"/>
      <c r="S3" s="22"/>
      <c r="T3" s="24"/>
      <c r="U3" s="24"/>
      <c r="V3" s="24"/>
      <c r="W3" s="24"/>
      <c r="X3" s="24"/>
      <c r="Y3" s="24"/>
      <c r="Z3" s="24"/>
      <c r="AA3" s="24"/>
      <c r="AB3" s="24"/>
    </row>
    <row r="4">
      <c r="A4" s="30" t="str">
        <f t="shared" si="1"/>
        <v>DeAaron Fox</v>
      </c>
      <c r="B4" s="23" t="s">
        <v>260</v>
      </c>
      <c r="C4" s="31">
        <v>45.3</v>
      </c>
      <c r="D4" s="32"/>
      <c r="E4" s="23" t="s">
        <v>260</v>
      </c>
      <c r="F4" s="16">
        <v>1.0</v>
      </c>
      <c r="G4" s="33" t="s">
        <v>261</v>
      </c>
      <c r="H4" s="16" t="s">
        <v>262</v>
      </c>
      <c r="I4" s="16" t="s">
        <v>263</v>
      </c>
      <c r="J4" s="16">
        <v>234.5</v>
      </c>
      <c r="K4" s="16">
        <v>111.0</v>
      </c>
      <c r="L4" s="37">
        <v>2.0</v>
      </c>
      <c r="M4" s="22">
        <v>3.0</v>
      </c>
      <c r="N4" s="38">
        <f>+1</f>
        <v>1</v>
      </c>
      <c r="O4" s="31">
        <v>45.3</v>
      </c>
      <c r="P4" s="22">
        <v>9700.0</v>
      </c>
      <c r="Q4" s="22">
        <v>214.0</v>
      </c>
      <c r="R4" s="22"/>
      <c r="S4" s="22"/>
      <c r="T4" s="24"/>
      <c r="U4" s="24"/>
      <c r="V4" s="24"/>
      <c r="W4" s="24"/>
      <c r="X4" s="24"/>
      <c r="Y4" s="24"/>
      <c r="Z4" s="24"/>
      <c r="AA4" s="24"/>
      <c r="AB4" s="24"/>
    </row>
    <row r="5">
      <c r="A5" s="30" t="str">
        <f t="shared" si="1"/>
        <v>Jayson Tatum</v>
      </c>
      <c r="B5" s="23" t="s">
        <v>264</v>
      </c>
      <c r="C5" s="31">
        <v>43.3</v>
      </c>
      <c r="D5" s="32"/>
      <c r="E5" s="23" t="s">
        <v>264</v>
      </c>
      <c r="F5" s="16">
        <v>2.0</v>
      </c>
      <c r="G5" s="33" t="s">
        <v>265</v>
      </c>
      <c r="H5" s="16" t="s">
        <v>266</v>
      </c>
      <c r="I5" s="16" t="s">
        <v>267</v>
      </c>
      <c r="J5" s="16">
        <v>212.5</v>
      </c>
      <c r="K5" s="39">
        <v>109.5</v>
      </c>
      <c r="L5" s="37">
        <v>2.0</v>
      </c>
      <c r="M5" s="22">
        <v>4.0</v>
      </c>
      <c r="N5" s="40">
        <f>+2</f>
        <v>2</v>
      </c>
      <c r="O5" s="31">
        <v>43.3</v>
      </c>
      <c r="P5" s="22">
        <v>9400.0</v>
      </c>
      <c r="Q5" s="22">
        <v>217.0</v>
      </c>
      <c r="R5" s="22"/>
      <c r="S5" s="22"/>
      <c r="T5" s="24"/>
      <c r="U5" s="24"/>
      <c r="V5" s="24"/>
      <c r="W5" s="24"/>
      <c r="X5" s="24"/>
      <c r="Y5" s="24"/>
      <c r="Z5" s="24"/>
      <c r="AA5" s="24"/>
      <c r="AB5" s="24"/>
    </row>
    <row r="6">
      <c r="A6" s="30" t="str">
        <f t="shared" si="1"/>
        <v>Clint Capela</v>
      </c>
      <c r="B6" s="23" t="s">
        <v>268</v>
      </c>
      <c r="C6" s="31">
        <v>43.0</v>
      </c>
      <c r="D6" s="32"/>
      <c r="E6" s="23" t="s">
        <v>268</v>
      </c>
      <c r="F6" s="16">
        <v>2.0</v>
      </c>
      <c r="G6" s="33" t="s">
        <v>269</v>
      </c>
      <c r="H6" s="16" t="s">
        <v>270</v>
      </c>
      <c r="I6" s="16" t="s">
        <v>255</v>
      </c>
      <c r="J6" s="16">
        <v>231.0</v>
      </c>
      <c r="K6" s="16">
        <v>113.0</v>
      </c>
      <c r="L6" s="35">
        <v>1.0</v>
      </c>
      <c r="M6" s="22">
        <v>6.0</v>
      </c>
      <c r="N6" s="40">
        <f>+5</f>
        <v>5</v>
      </c>
      <c r="O6" s="31">
        <v>43.0</v>
      </c>
      <c r="P6" s="22">
        <v>9000.0</v>
      </c>
      <c r="Q6" s="22">
        <v>209.0</v>
      </c>
      <c r="R6" s="22"/>
      <c r="S6" s="22"/>
      <c r="T6" s="24"/>
      <c r="U6" s="24"/>
      <c r="V6" s="24"/>
      <c r="W6" s="24"/>
      <c r="X6" s="24"/>
      <c r="Y6" s="24"/>
      <c r="Z6" s="24"/>
      <c r="AA6" s="24"/>
      <c r="AB6" s="24"/>
    </row>
    <row r="7">
      <c r="A7" s="30" t="str">
        <f t="shared" si="1"/>
        <v>Trae Young</v>
      </c>
      <c r="B7" s="23" t="s">
        <v>271</v>
      </c>
      <c r="C7" s="31">
        <v>42.3</v>
      </c>
      <c r="D7" s="32"/>
      <c r="E7" s="23" t="s">
        <v>271</v>
      </c>
      <c r="F7" s="16">
        <v>6.0</v>
      </c>
      <c r="G7" s="33" t="s">
        <v>269</v>
      </c>
      <c r="H7" s="16" t="s">
        <v>272</v>
      </c>
      <c r="I7" s="16" t="s">
        <v>255</v>
      </c>
      <c r="J7" s="16">
        <v>231.0</v>
      </c>
      <c r="K7" s="16">
        <v>113.0</v>
      </c>
      <c r="L7" s="37">
        <v>3.0</v>
      </c>
      <c r="M7" s="22">
        <v>5.0</v>
      </c>
      <c r="N7" s="40">
        <f>+2</f>
        <v>2</v>
      </c>
      <c r="O7" s="31">
        <v>42.3</v>
      </c>
      <c r="P7" s="22">
        <v>9100.0</v>
      </c>
      <c r="Q7" s="22">
        <v>215.0</v>
      </c>
      <c r="R7" s="22"/>
      <c r="S7" s="22"/>
      <c r="T7" s="24"/>
      <c r="U7" s="24"/>
      <c r="V7" s="24"/>
      <c r="W7" s="24"/>
      <c r="X7" s="24"/>
      <c r="Y7" s="24"/>
      <c r="Z7" s="24"/>
      <c r="AA7" s="24"/>
      <c r="AB7" s="24"/>
    </row>
    <row r="8">
      <c r="A8" s="30" t="str">
        <f t="shared" si="1"/>
        <v>Devin Booker</v>
      </c>
      <c r="B8" s="23" t="s">
        <v>273</v>
      </c>
      <c r="C8" s="31">
        <v>42.2</v>
      </c>
      <c r="D8" s="32"/>
      <c r="E8" s="23" t="s">
        <v>273</v>
      </c>
      <c r="F8" s="16">
        <v>2.0</v>
      </c>
      <c r="G8" s="33" t="s">
        <v>274</v>
      </c>
      <c r="H8" s="16" t="s">
        <v>275</v>
      </c>
      <c r="I8" s="16" t="s">
        <v>263</v>
      </c>
      <c r="J8" s="16">
        <v>234.5</v>
      </c>
      <c r="K8" s="31">
        <v>124.0</v>
      </c>
      <c r="L8" s="35">
        <v>1.0</v>
      </c>
      <c r="M8" s="22">
        <v>7.0</v>
      </c>
      <c r="N8" s="40">
        <f>+6</f>
        <v>6</v>
      </c>
      <c r="O8" s="31">
        <v>42.2</v>
      </c>
      <c r="P8" s="22">
        <v>9000.0</v>
      </c>
      <c r="Q8" s="22">
        <v>213.0</v>
      </c>
      <c r="R8" s="22"/>
      <c r="S8" s="22"/>
      <c r="T8" s="24"/>
      <c r="U8" s="24"/>
      <c r="V8" s="24"/>
      <c r="W8" s="24"/>
      <c r="X8" s="24"/>
      <c r="Y8" s="24"/>
      <c r="Z8" s="24"/>
      <c r="AA8" s="24"/>
      <c r="AB8" s="24"/>
    </row>
    <row r="9">
      <c r="A9" s="30" t="str">
        <f t="shared" si="1"/>
        <v>Chris Paul</v>
      </c>
      <c r="B9" s="23" t="s">
        <v>276</v>
      </c>
      <c r="C9" s="31">
        <v>40.7</v>
      </c>
      <c r="D9" s="32"/>
      <c r="E9" s="23" t="s">
        <v>276</v>
      </c>
      <c r="F9" s="16">
        <v>2.0</v>
      </c>
      <c r="G9" s="33" t="s">
        <v>274</v>
      </c>
      <c r="H9" s="16" t="s">
        <v>277</v>
      </c>
      <c r="I9" s="16" t="s">
        <v>263</v>
      </c>
      <c r="J9" s="16">
        <v>234.5</v>
      </c>
      <c r="K9" s="31">
        <v>124.0</v>
      </c>
      <c r="L9" s="37">
        <v>4.0</v>
      </c>
      <c r="M9" s="22">
        <v>11.0</v>
      </c>
      <c r="N9" s="40">
        <f>+7</f>
        <v>7</v>
      </c>
      <c r="O9" s="31">
        <v>40.7</v>
      </c>
      <c r="P9" s="22">
        <v>8000.0</v>
      </c>
      <c r="Q9" s="22">
        <v>197.0</v>
      </c>
      <c r="R9" s="22"/>
      <c r="S9" s="22"/>
      <c r="T9" s="24"/>
      <c r="U9" s="24"/>
      <c r="V9" s="24"/>
      <c r="W9" s="24"/>
      <c r="X9" s="24"/>
      <c r="Y9" s="24"/>
      <c r="Z9" s="24"/>
      <c r="AA9" s="24"/>
      <c r="AB9" s="24"/>
    </row>
    <row r="10">
      <c r="A10" s="30" t="str">
        <f t="shared" si="1"/>
        <v>Jaylen Brown</v>
      </c>
      <c r="B10" s="23" t="s">
        <v>278</v>
      </c>
      <c r="C10" s="31">
        <v>39.4</v>
      </c>
      <c r="D10" s="32"/>
      <c r="E10" s="23" t="s">
        <v>278</v>
      </c>
      <c r="F10" s="16">
        <v>2.0</v>
      </c>
      <c r="G10" s="33" t="s">
        <v>265</v>
      </c>
      <c r="H10" s="16" t="s">
        <v>266</v>
      </c>
      <c r="I10" s="16" t="s">
        <v>267</v>
      </c>
      <c r="J10" s="16">
        <v>212.5</v>
      </c>
      <c r="K10" s="39">
        <v>109.5</v>
      </c>
      <c r="L10" s="35">
        <v>1.0</v>
      </c>
      <c r="M10" s="22">
        <v>10.0</v>
      </c>
      <c r="N10" s="40">
        <f>+9</f>
        <v>9</v>
      </c>
      <c r="O10" s="31">
        <v>39.4</v>
      </c>
      <c r="P10" s="22">
        <v>8100.0</v>
      </c>
      <c r="Q10" s="22">
        <v>206.0</v>
      </c>
      <c r="R10" s="22"/>
      <c r="S10" s="22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30" t="str">
        <f t="shared" si="1"/>
        <v>Draymond Green</v>
      </c>
      <c r="B11" s="23" t="s">
        <v>279</v>
      </c>
      <c r="C11" s="31">
        <v>38.2</v>
      </c>
      <c r="D11" s="32"/>
      <c r="E11" s="23" t="s">
        <v>279</v>
      </c>
      <c r="F11" s="16">
        <v>1.0</v>
      </c>
      <c r="G11" s="33" t="s">
        <v>257</v>
      </c>
      <c r="H11" s="16" t="s">
        <v>277</v>
      </c>
      <c r="I11" s="16" t="s">
        <v>259</v>
      </c>
      <c r="J11" s="16">
        <v>224.5</v>
      </c>
      <c r="K11" s="16">
        <v>115.5</v>
      </c>
      <c r="L11" s="37">
        <v>3.0</v>
      </c>
      <c r="M11" s="22">
        <v>20.0</v>
      </c>
      <c r="N11" s="40">
        <f>+17</f>
        <v>17</v>
      </c>
      <c r="O11" s="31">
        <v>38.2</v>
      </c>
      <c r="P11" s="22">
        <v>7100.0</v>
      </c>
      <c r="Q11" s="22">
        <v>186.0</v>
      </c>
      <c r="R11" s="22"/>
      <c r="S11" s="22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30" t="str">
        <f t="shared" si="1"/>
        <v>Khris Middleton</v>
      </c>
      <c r="B12" s="23" t="s">
        <v>280</v>
      </c>
      <c r="C12" s="31">
        <v>36.1</v>
      </c>
      <c r="D12" s="32"/>
      <c r="E12" s="23" t="s">
        <v>280</v>
      </c>
      <c r="F12" s="16">
        <v>1.0</v>
      </c>
      <c r="G12" s="33" t="s">
        <v>253</v>
      </c>
      <c r="H12" s="16" t="s">
        <v>281</v>
      </c>
      <c r="I12" s="16" t="s">
        <v>255</v>
      </c>
      <c r="J12" s="16">
        <v>231.0</v>
      </c>
      <c r="K12" s="34">
        <v>118.5</v>
      </c>
      <c r="L12" s="37">
        <v>2.0</v>
      </c>
      <c r="M12" s="22">
        <v>12.0</v>
      </c>
      <c r="N12" s="40">
        <f>+10</f>
        <v>10</v>
      </c>
      <c r="O12" s="31">
        <v>36.1</v>
      </c>
      <c r="P12" s="22">
        <v>7800.0</v>
      </c>
      <c r="Q12" s="22">
        <v>216.0</v>
      </c>
      <c r="R12" s="22"/>
      <c r="S12" s="22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30" t="str">
        <f t="shared" si="1"/>
        <v>Jarrett Allen</v>
      </c>
      <c r="B13" s="23" t="s">
        <v>282</v>
      </c>
      <c r="C13" s="31">
        <v>35.2</v>
      </c>
      <c r="D13" s="32"/>
      <c r="E13" s="23" t="s">
        <v>282</v>
      </c>
      <c r="F13" s="16">
        <v>1.0</v>
      </c>
      <c r="G13" s="33" t="s">
        <v>283</v>
      </c>
      <c r="H13" s="16" t="s">
        <v>284</v>
      </c>
      <c r="I13" s="16" t="s">
        <v>259</v>
      </c>
      <c r="J13" s="16">
        <v>224.5</v>
      </c>
      <c r="K13" s="39">
        <v>109.0</v>
      </c>
      <c r="L13" s="37">
        <v>2.0</v>
      </c>
      <c r="M13" s="22">
        <v>18.0</v>
      </c>
      <c r="N13" s="40">
        <f>+16</f>
        <v>16</v>
      </c>
      <c r="O13" s="31">
        <v>35.2</v>
      </c>
      <c r="P13" s="22">
        <v>7100.0</v>
      </c>
      <c r="Q13" s="22">
        <v>202.0</v>
      </c>
      <c r="R13" s="22"/>
      <c r="S13" s="22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30" t="str">
        <f t="shared" si="1"/>
        <v>Collin Sexton</v>
      </c>
      <c r="B14" s="23" t="s">
        <v>285</v>
      </c>
      <c r="C14" s="31">
        <v>35.1</v>
      </c>
      <c r="D14" s="32"/>
      <c r="E14" s="23" t="s">
        <v>285</v>
      </c>
      <c r="F14" s="16">
        <v>5.0</v>
      </c>
      <c r="G14" s="33" t="s">
        <v>283</v>
      </c>
      <c r="H14" s="16" t="s">
        <v>286</v>
      </c>
      <c r="I14" s="16" t="s">
        <v>259</v>
      </c>
      <c r="J14" s="16">
        <v>224.5</v>
      </c>
      <c r="K14" s="39">
        <v>109.0</v>
      </c>
      <c r="L14" s="37">
        <v>2.0</v>
      </c>
      <c r="M14" s="22">
        <v>16.0</v>
      </c>
      <c r="N14" s="40">
        <f>+14</f>
        <v>14</v>
      </c>
      <c r="O14" s="31">
        <v>35.1</v>
      </c>
      <c r="P14" s="22">
        <v>7400.0</v>
      </c>
      <c r="Q14" s="22">
        <v>211.0</v>
      </c>
      <c r="R14" s="22"/>
      <c r="S14" s="22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30" t="str">
        <f t="shared" si="1"/>
        <v>Jrue Holiday</v>
      </c>
      <c r="B15" s="23" t="s">
        <v>287</v>
      </c>
      <c r="C15" s="34">
        <v>35.0</v>
      </c>
      <c r="D15" s="32"/>
      <c r="E15" s="23" t="s">
        <v>287</v>
      </c>
      <c r="F15" s="16">
        <v>1.0</v>
      </c>
      <c r="G15" s="33" t="s">
        <v>253</v>
      </c>
      <c r="H15" s="16" t="s">
        <v>286</v>
      </c>
      <c r="I15" s="16" t="s">
        <v>255</v>
      </c>
      <c r="J15" s="16">
        <v>231.0</v>
      </c>
      <c r="K15" s="34">
        <v>118.5</v>
      </c>
      <c r="L15" s="37">
        <v>5.0</v>
      </c>
      <c r="M15" s="22">
        <v>9.0</v>
      </c>
      <c r="N15" s="40">
        <f>+4</f>
        <v>4</v>
      </c>
      <c r="O15" s="34">
        <v>35.0</v>
      </c>
      <c r="P15" s="22">
        <v>8400.0</v>
      </c>
      <c r="Q15" s="22">
        <v>240.0</v>
      </c>
      <c r="R15" s="22"/>
      <c r="S15" s="22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30" t="str">
        <f t="shared" si="1"/>
        <v>Deandre Ayton</v>
      </c>
      <c r="B16" s="23" t="s">
        <v>288</v>
      </c>
      <c r="C16" s="34">
        <v>34.4</v>
      </c>
      <c r="D16" s="32"/>
      <c r="E16" s="23" t="s">
        <v>288</v>
      </c>
      <c r="F16" s="16">
        <v>2.0</v>
      </c>
      <c r="G16" s="33" t="s">
        <v>274</v>
      </c>
      <c r="H16" s="16" t="s">
        <v>289</v>
      </c>
      <c r="I16" s="16" t="s">
        <v>263</v>
      </c>
      <c r="J16" s="16">
        <v>234.5</v>
      </c>
      <c r="K16" s="31">
        <v>124.0</v>
      </c>
      <c r="L16" s="37">
        <v>3.0</v>
      </c>
      <c r="M16" s="22">
        <v>14.0</v>
      </c>
      <c r="N16" s="40">
        <f>+11</f>
        <v>11</v>
      </c>
      <c r="O16" s="34">
        <v>34.4</v>
      </c>
      <c r="P16" s="22">
        <v>7400.0</v>
      </c>
      <c r="Q16" s="22">
        <v>215.0</v>
      </c>
      <c r="R16" s="22"/>
      <c r="S16" s="22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30" t="str">
        <f t="shared" si="1"/>
        <v>Kemba Walker</v>
      </c>
      <c r="B17" s="23" t="s">
        <v>290</v>
      </c>
      <c r="C17" s="34">
        <v>33.7</v>
      </c>
      <c r="D17" s="32"/>
      <c r="E17" s="23" t="s">
        <v>290</v>
      </c>
      <c r="F17" s="16">
        <v>2.0</v>
      </c>
      <c r="G17" s="33" t="s">
        <v>265</v>
      </c>
      <c r="H17" s="16" t="s">
        <v>291</v>
      </c>
      <c r="I17" s="16" t="s">
        <v>267</v>
      </c>
      <c r="J17" s="16">
        <v>212.5</v>
      </c>
      <c r="K17" s="39">
        <v>109.5</v>
      </c>
      <c r="L17" s="37">
        <v>6.0</v>
      </c>
      <c r="M17" s="22">
        <v>24.0</v>
      </c>
      <c r="N17" s="40">
        <f>+18</f>
        <v>18</v>
      </c>
      <c r="O17" s="34">
        <v>33.7</v>
      </c>
      <c r="P17" s="22">
        <v>6800.0</v>
      </c>
      <c r="Q17" s="22">
        <v>202.0</v>
      </c>
      <c r="R17" s="22"/>
      <c r="S17" s="22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30" t="str">
        <f t="shared" si="1"/>
        <v>Andrew Wiggins</v>
      </c>
      <c r="B18" s="23" t="s">
        <v>292</v>
      </c>
      <c r="C18" s="34">
        <v>33.5</v>
      </c>
      <c r="D18" s="32"/>
      <c r="E18" s="23" t="s">
        <v>292</v>
      </c>
      <c r="F18" s="16">
        <v>1.0</v>
      </c>
      <c r="G18" s="33" t="s">
        <v>257</v>
      </c>
      <c r="H18" s="16" t="s">
        <v>277</v>
      </c>
      <c r="I18" s="16" t="s">
        <v>259</v>
      </c>
      <c r="J18" s="16">
        <v>224.5</v>
      </c>
      <c r="K18" s="16">
        <v>115.5</v>
      </c>
      <c r="L18" s="37">
        <v>3.0</v>
      </c>
      <c r="M18" s="22">
        <v>19.0</v>
      </c>
      <c r="N18" s="40">
        <f>+16</f>
        <v>16</v>
      </c>
      <c r="O18" s="34">
        <v>33.5</v>
      </c>
      <c r="P18" s="22">
        <v>7100.0</v>
      </c>
      <c r="Q18" s="22">
        <v>212.0</v>
      </c>
      <c r="R18" s="22"/>
      <c r="S18" s="22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30" t="str">
        <f t="shared" si="1"/>
        <v>Dennis Schroder</v>
      </c>
      <c r="B19" s="23" t="s">
        <v>293</v>
      </c>
      <c r="C19" s="34">
        <v>31.9</v>
      </c>
      <c r="D19" s="32"/>
      <c r="E19" s="23" t="s">
        <v>293</v>
      </c>
      <c r="F19" s="16">
        <v>2.0</v>
      </c>
      <c r="G19" s="33" t="s">
        <v>294</v>
      </c>
      <c r="H19" s="16" t="s">
        <v>295</v>
      </c>
      <c r="I19" s="16" t="s">
        <v>267</v>
      </c>
      <c r="J19" s="16">
        <v>212.5</v>
      </c>
      <c r="K19" s="41">
        <v>103.5</v>
      </c>
      <c r="L19" s="37">
        <v>7.0</v>
      </c>
      <c r="M19" s="22">
        <v>27.0</v>
      </c>
      <c r="N19" s="40">
        <f>+20</f>
        <v>20</v>
      </c>
      <c r="O19" s="34">
        <v>31.9</v>
      </c>
      <c r="P19" s="22">
        <v>6600.0</v>
      </c>
      <c r="Q19" s="22">
        <v>207.0</v>
      </c>
      <c r="R19" s="22"/>
      <c r="S19" s="22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30" t="str">
        <f t="shared" si="1"/>
        <v>Bogdan Bogdanovic</v>
      </c>
      <c r="B20" s="23" t="s">
        <v>296</v>
      </c>
      <c r="C20" s="34">
        <v>31.9</v>
      </c>
      <c r="D20" s="32"/>
      <c r="E20" s="23" t="s">
        <v>296</v>
      </c>
      <c r="F20" s="16">
        <v>2.0</v>
      </c>
      <c r="G20" s="33" t="s">
        <v>269</v>
      </c>
      <c r="H20" s="16" t="s">
        <v>277</v>
      </c>
      <c r="I20" s="16" t="s">
        <v>255</v>
      </c>
      <c r="J20" s="16">
        <v>231.0</v>
      </c>
      <c r="K20" s="16">
        <v>113.0</v>
      </c>
      <c r="L20" s="37">
        <v>3.0</v>
      </c>
      <c r="M20" s="22">
        <v>17.0</v>
      </c>
      <c r="N20" s="40">
        <f>+14</f>
        <v>14</v>
      </c>
      <c r="O20" s="34">
        <v>31.9</v>
      </c>
      <c r="P20" s="22">
        <v>7200.0</v>
      </c>
      <c r="Q20" s="22">
        <v>226.0</v>
      </c>
      <c r="R20" s="22"/>
      <c r="S20" s="22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30" t="str">
        <f t="shared" si="1"/>
        <v>Robert Williams</v>
      </c>
      <c r="B21" s="23" t="s">
        <v>297</v>
      </c>
      <c r="C21" s="34">
        <v>31.7</v>
      </c>
      <c r="D21" s="32"/>
      <c r="E21" s="23" t="s">
        <v>297</v>
      </c>
      <c r="F21" s="16">
        <v>2.0</v>
      </c>
      <c r="G21" s="33" t="s">
        <v>265</v>
      </c>
      <c r="H21" s="16" t="s">
        <v>298</v>
      </c>
      <c r="I21" s="16" t="s">
        <v>267</v>
      </c>
      <c r="J21" s="16">
        <v>212.5</v>
      </c>
      <c r="K21" s="39">
        <v>109.5</v>
      </c>
      <c r="L21" s="37">
        <v>4.0</v>
      </c>
      <c r="M21" s="22">
        <v>35.0</v>
      </c>
      <c r="N21" s="40">
        <f>+31</f>
        <v>31</v>
      </c>
      <c r="O21" s="34">
        <v>31.7</v>
      </c>
      <c r="P21" s="22">
        <v>5800.0</v>
      </c>
      <c r="Q21" s="22">
        <v>183.0</v>
      </c>
      <c r="R21" s="22"/>
      <c r="S21" s="22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30" t="str">
        <f t="shared" si="1"/>
        <v>Andre Drummond</v>
      </c>
      <c r="B22" s="23" t="s">
        <v>299</v>
      </c>
      <c r="C22" s="34">
        <v>31.3</v>
      </c>
      <c r="D22" s="32"/>
      <c r="E22" s="23" t="s">
        <v>299</v>
      </c>
      <c r="F22" s="16">
        <v>2.0</v>
      </c>
      <c r="G22" s="33" t="s">
        <v>294</v>
      </c>
      <c r="H22" s="16" t="s">
        <v>300</v>
      </c>
      <c r="I22" s="16" t="s">
        <v>267</v>
      </c>
      <c r="J22" s="16">
        <v>212.5</v>
      </c>
      <c r="K22" s="41">
        <v>103.5</v>
      </c>
      <c r="L22" s="37">
        <v>5.0</v>
      </c>
      <c r="M22" s="22">
        <v>23.0</v>
      </c>
      <c r="N22" s="40">
        <f>+18</f>
        <v>18</v>
      </c>
      <c r="O22" s="34">
        <v>31.3</v>
      </c>
      <c r="P22" s="22">
        <v>6800.0</v>
      </c>
      <c r="Q22" s="22">
        <v>218.0</v>
      </c>
      <c r="R22" s="22"/>
      <c r="S22" s="22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30" t="str">
        <f t="shared" si="1"/>
        <v>Marcus Smart</v>
      </c>
      <c r="B23" s="23" t="s">
        <v>301</v>
      </c>
      <c r="C23" s="34">
        <v>30.9</v>
      </c>
      <c r="D23" s="32"/>
      <c r="E23" s="23" t="s">
        <v>301</v>
      </c>
      <c r="F23" s="16">
        <v>2.0</v>
      </c>
      <c r="G23" s="33" t="s">
        <v>265</v>
      </c>
      <c r="H23" s="16" t="s">
        <v>302</v>
      </c>
      <c r="I23" s="16" t="s">
        <v>267</v>
      </c>
      <c r="J23" s="16">
        <v>212.5</v>
      </c>
      <c r="K23" s="39">
        <v>109.5</v>
      </c>
      <c r="L23" s="37">
        <v>4.0</v>
      </c>
      <c r="M23" s="22">
        <v>21.0</v>
      </c>
      <c r="N23" s="40">
        <f>+17</f>
        <v>17</v>
      </c>
      <c r="O23" s="34">
        <v>30.9</v>
      </c>
      <c r="P23" s="22">
        <v>7000.0</v>
      </c>
      <c r="Q23" s="22">
        <v>227.0</v>
      </c>
      <c r="R23" s="22"/>
      <c r="S23" s="22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30" t="str">
        <f t="shared" si="1"/>
        <v>Kevin Love</v>
      </c>
      <c r="B24" s="23" t="s">
        <v>303</v>
      </c>
      <c r="C24" s="34">
        <v>30.0</v>
      </c>
      <c r="D24" s="32"/>
      <c r="E24" s="23" t="s">
        <v>303</v>
      </c>
      <c r="F24" s="16">
        <v>1.0</v>
      </c>
      <c r="G24" s="33" t="s">
        <v>283</v>
      </c>
      <c r="H24" s="16" t="s">
        <v>289</v>
      </c>
      <c r="I24" s="16" t="s">
        <v>259</v>
      </c>
      <c r="J24" s="16">
        <v>224.5</v>
      </c>
      <c r="K24" s="39">
        <v>109.0</v>
      </c>
      <c r="L24" s="37">
        <v>4.0</v>
      </c>
      <c r="M24" s="22">
        <v>29.0</v>
      </c>
      <c r="N24" s="40">
        <f>+25</f>
        <v>25</v>
      </c>
      <c r="O24" s="34">
        <v>30.0</v>
      </c>
      <c r="P24" s="22">
        <v>6300.0</v>
      </c>
      <c r="Q24" s="22">
        <v>210.0</v>
      </c>
      <c r="R24" s="22"/>
      <c r="S24" s="22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30" t="str">
        <f t="shared" si="1"/>
        <v>Kent Bazemore</v>
      </c>
      <c r="B25" s="23" t="s">
        <v>304</v>
      </c>
      <c r="C25" s="34">
        <v>29.4</v>
      </c>
      <c r="D25" s="32"/>
      <c r="E25" s="23" t="s">
        <v>304</v>
      </c>
      <c r="F25" s="16">
        <v>1.0</v>
      </c>
      <c r="G25" s="33" t="s">
        <v>257</v>
      </c>
      <c r="H25" s="16" t="s">
        <v>305</v>
      </c>
      <c r="I25" s="16" t="s">
        <v>259</v>
      </c>
      <c r="J25" s="16">
        <v>224.5</v>
      </c>
      <c r="K25" s="16">
        <v>115.5</v>
      </c>
      <c r="L25" s="37">
        <v>4.0</v>
      </c>
      <c r="M25" s="22">
        <v>47.0</v>
      </c>
      <c r="N25" s="42">
        <f>+43</f>
        <v>43</v>
      </c>
      <c r="O25" s="34">
        <v>29.4</v>
      </c>
      <c r="P25" s="22">
        <v>5000.0</v>
      </c>
      <c r="Q25" s="22">
        <v>170.0</v>
      </c>
      <c r="R25" s="22"/>
      <c r="S25" s="22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30" t="str">
        <f t="shared" si="1"/>
        <v>Darius Garland</v>
      </c>
      <c r="B26" s="23" t="s">
        <v>306</v>
      </c>
      <c r="C26" s="34">
        <v>29.2</v>
      </c>
      <c r="D26" s="32"/>
      <c r="E26" s="23" t="s">
        <v>306</v>
      </c>
      <c r="F26" s="16">
        <v>1.0</v>
      </c>
      <c r="G26" s="33" t="s">
        <v>283</v>
      </c>
      <c r="H26" s="16" t="s">
        <v>266</v>
      </c>
      <c r="I26" s="16" t="s">
        <v>259</v>
      </c>
      <c r="J26" s="16">
        <v>224.5</v>
      </c>
      <c r="K26" s="39">
        <v>109.0</v>
      </c>
      <c r="L26" s="37">
        <v>8.0</v>
      </c>
      <c r="M26" s="22">
        <v>25.0</v>
      </c>
      <c r="N26" s="40">
        <f>+17</f>
        <v>17</v>
      </c>
      <c r="O26" s="34">
        <v>29.2</v>
      </c>
      <c r="P26" s="22">
        <v>6700.0</v>
      </c>
      <c r="Q26" s="22">
        <v>229.0</v>
      </c>
      <c r="R26" s="22"/>
      <c r="S26" s="22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30" t="str">
        <f t="shared" si="1"/>
        <v>Kyle Kuzma</v>
      </c>
      <c r="B27" s="23" t="s">
        <v>307</v>
      </c>
      <c r="C27" s="34">
        <v>28.6</v>
      </c>
      <c r="D27" s="32"/>
      <c r="E27" s="23" t="s">
        <v>307</v>
      </c>
      <c r="F27" s="16">
        <v>2.0</v>
      </c>
      <c r="G27" s="33" t="s">
        <v>294</v>
      </c>
      <c r="H27" s="16" t="s">
        <v>308</v>
      </c>
      <c r="I27" s="16" t="s">
        <v>267</v>
      </c>
      <c r="J27" s="16">
        <v>212.5</v>
      </c>
      <c r="K27" s="41">
        <v>103.5</v>
      </c>
      <c r="L27" s="37">
        <v>5.0</v>
      </c>
      <c r="M27" s="22">
        <v>28.0</v>
      </c>
      <c r="N27" s="40">
        <f>+23</f>
        <v>23</v>
      </c>
      <c r="O27" s="34">
        <v>28.6</v>
      </c>
      <c r="P27" s="22">
        <v>6500.0</v>
      </c>
      <c r="Q27" s="22">
        <v>227.0</v>
      </c>
      <c r="R27" s="22"/>
      <c r="S27" s="22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30" t="str">
        <f t="shared" si="1"/>
        <v>Harrison Barnes</v>
      </c>
      <c r="B28" s="23" t="s">
        <v>309</v>
      </c>
      <c r="C28" s="34">
        <v>27.6</v>
      </c>
      <c r="D28" s="32"/>
      <c r="E28" s="23" t="s">
        <v>309</v>
      </c>
      <c r="F28" s="16">
        <v>1.0</v>
      </c>
      <c r="G28" s="33" t="s">
        <v>261</v>
      </c>
      <c r="H28" s="16" t="s">
        <v>281</v>
      </c>
      <c r="I28" s="16" t="s">
        <v>263</v>
      </c>
      <c r="J28" s="16">
        <v>234.5</v>
      </c>
      <c r="K28" s="16">
        <v>111.0</v>
      </c>
      <c r="L28" s="37">
        <v>5.0</v>
      </c>
      <c r="M28" s="22">
        <v>34.0</v>
      </c>
      <c r="N28" s="40">
        <f>+29</f>
        <v>29</v>
      </c>
      <c r="O28" s="34">
        <v>27.6</v>
      </c>
      <c r="P28" s="22">
        <v>5800.0</v>
      </c>
      <c r="Q28" s="22">
        <v>210.0</v>
      </c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30" t="str">
        <f t="shared" si="1"/>
        <v>Tyrese Haliburton</v>
      </c>
      <c r="B29" s="23" t="s">
        <v>310</v>
      </c>
      <c r="C29" s="34">
        <v>27.5</v>
      </c>
      <c r="D29" s="32"/>
      <c r="E29" s="23" t="s">
        <v>310</v>
      </c>
      <c r="F29" s="16">
        <v>1.0</v>
      </c>
      <c r="G29" s="33" t="s">
        <v>261</v>
      </c>
      <c r="H29" s="16" t="s">
        <v>311</v>
      </c>
      <c r="I29" s="16" t="s">
        <v>263</v>
      </c>
      <c r="J29" s="16">
        <v>234.5</v>
      </c>
      <c r="K29" s="16">
        <v>111.0</v>
      </c>
      <c r="L29" s="37">
        <v>5.0</v>
      </c>
      <c r="M29" s="22">
        <v>41.0</v>
      </c>
      <c r="N29" s="42">
        <f>+36</f>
        <v>36</v>
      </c>
      <c r="O29" s="34">
        <v>27.5</v>
      </c>
      <c r="P29" s="22">
        <v>5400.0</v>
      </c>
      <c r="Q29" s="22">
        <v>197.0</v>
      </c>
      <c r="R29" s="22"/>
      <c r="S29" s="22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30" t="str">
        <f t="shared" si="1"/>
        <v>Hassan Whiteside</v>
      </c>
      <c r="B30" s="23" t="s">
        <v>312</v>
      </c>
      <c r="C30" s="34">
        <v>27.1</v>
      </c>
      <c r="D30" s="32"/>
      <c r="E30" s="23" t="s">
        <v>312</v>
      </c>
      <c r="F30" s="16">
        <v>1.0</v>
      </c>
      <c r="G30" s="33" t="s">
        <v>261</v>
      </c>
      <c r="H30" s="16" t="s">
        <v>313</v>
      </c>
      <c r="I30" s="16" t="s">
        <v>263</v>
      </c>
      <c r="J30" s="16">
        <v>234.5</v>
      </c>
      <c r="K30" s="16">
        <v>111.0</v>
      </c>
      <c r="L30" s="37">
        <v>6.0</v>
      </c>
      <c r="M30" s="22">
        <v>46.0</v>
      </c>
      <c r="N30" s="42">
        <f>+40</f>
        <v>40</v>
      </c>
      <c r="O30" s="34">
        <v>27.1</v>
      </c>
      <c r="P30" s="22">
        <v>5000.0</v>
      </c>
      <c r="Q30" s="22">
        <v>185.0</v>
      </c>
      <c r="R30" s="22"/>
      <c r="S30" s="22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30" t="str">
        <f t="shared" si="1"/>
        <v>Mikal Bridges</v>
      </c>
      <c r="B31" s="23" t="s">
        <v>314</v>
      </c>
      <c r="C31" s="34">
        <v>27.0</v>
      </c>
      <c r="D31" s="32"/>
      <c r="E31" s="23" t="s">
        <v>314</v>
      </c>
      <c r="F31" s="16">
        <v>2.0</v>
      </c>
      <c r="G31" s="33" t="s">
        <v>274</v>
      </c>
      <c r="H31" s="16" t="s">
        <v>286</v>
      </c>
      <c r="I31" s="16" t="s">
        <v>263</v>
      </c>
      <c r="J31" s="16">
        <v>234.5</v>
      </c>
      <c r="K31" s="31">
        <v>124.0</v>
      </c>
      <c r="L31" s="37">
        <v>6.0</v>
      </c>
      <c r="M31" s="22">
        <v>45.0</v>
      </c>
      <c r="N31" s="42">
        <f>+39</f>
        <v>39</v>
      </c>
      <c r="O31" s="34">
        <v>27.0</v>
      </c>
      <c r="P31" s="22">
        <v>5200.0</v>
      </c>
      <c r="Q31" s="22">
        <v>193.0</v>
      </c>
      <c r="R31" s="22"/>
      <c r="S31" s="22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30" t="str">
        <f t="shared" si="1"/>
        <v>Buddy Hield</v>
      </c>
      <c r="B32" s="23" t="s">
        <v>315</v>
      </c>
      <c r="C32" s="34">
        <v>26.6</v>
      </c>
      <c r="D32" s="32"/>
      <c r="E32" s="23" t="s">
        <v>315</v>
      </c>
      <c r="F32" s="16">
        <v>1.0</v>
      </c>
      <c r="G32" s="33" t="s">
        <v>261</v>
      </c>
      <c r="H32" s="16" t="s">
        <v>311</v>
      </c>
      <c r="I32" s="16" t="s">
        <v>263</v>
      </c>
      <c r="J32" s="16">
        <v>234.5</v>
      </c>
      <c r="K32" s="16">
        <v>111.0</v>
      </c>
      <c r="L32" s="37">
        <v>7.0</v>
      </c>
      <c r="M32" s="22">
        <v>30.0</v>
      </c>
      <c r="N32" s="40">
        <f>+23</f>
        <v>23</v>
      </c>
      <c r="O32" s="34">
        <v>26.6</v>
      </c>
      <c r="P32" s="22">
        <v>6100.0</v>
      </c>
      <c r="Q32" s="22">
        <v>229.0</v>
      </c>
      <c r="R32" s="22"/>
      <c r="S32" s="22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30" t="str">
        <f t="shared" si="1"/>
        <v>Brook Lopez</v>
      </c>
      <c r="B33" s="23" t="s">
        <v>316</v>
      </c>
      <c r="C33" s="34">
        <v>24.6</v>
      </c>
      <c r="D33" s="32"/>
      <c r="E33" s="23" t="s">
        <v>316</v>
      </c>
      <c r="F33" s="16">
        <v>1.0</v>
      </c>
      <c r="G33" s="33" t="s">
        <v>253</v>
      </c>
      <c r="H33" s="16" t="s">
        <v>262</v>
      </c>
      <c r="I33" s="16" t="s">
        <v>255</v>
      </c>
      <c r="J33" s="16">
        <v>231.0</v>
      </c>
      <c r="K33" s="34">
        <v>118.5</v>
      </c>
      <c r="L33" s="37">
        <v>7.0</v>
      </c>
      <c r="M33" s="22">
        <v>52.0</v>
      </c>
      <c r="N33" s="42">
        <f>+45</f>
        <v>45</v>
      </c>
      <c r="O33" s="34">
        <v>24.6</v>
      </c>
      <c r="P33" s="22">
        <v>4800.0</v>
      </c>
      <c r="Q33" s="22">
        <v>195.0</v>
      </c>
      <c r="R33" s="22"/>
      <c r="S33" s="22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30" t="str">
        <f t="shared" si="1"/>
        <v>Kevin Huerter</v>
      </c>
      <c r="B34" s="23" t="s">
        <v>317</v>
      </c>
      <c r="C34" s="34">
        <v>24.4</v>
      </c>
      <c r="D34" s="32"/>
      <c r="E34" s="23" t="s">
        <v>317</v>
      </c>
      <c r="F34" s="16">
        <v>2.0</v>
      </c>
      <c r="G34" s="33" t="s">
        <v>269</v>
      </c>
      <c r="H34" s="16" t="s">
        <v>318</v>
      </c>
      <c r="I34" s="16" t="s">
        <v>255</v>
      </c>
      <c r="J34" s="16">
        <v>231.0</v>
      </c>
      <c r="K34" s="16">
        <v>113.0</v>
      </c>
      <c r="L34" s="37">
        <v>6.0</v>
      </c>
      <c r="M34" s="22">
        <v>40.0</v>
      </c>
      <c r="N34" s="42">
        <f>+34</f>
        <v>34</v>
      </c>
      <c r="O34" s="34">
        <v>24.4</v>
      </c>
      <c r="P34" s="22">
        <v>5400.0</v>
      </c>
      <c r="Q34" s="22">
        <v>221.0</v>
      </c>
      <c r="R34" s="22"/>
      <c r="S34" s="22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30" t="str">
        <f t="shared" si="1"/>
        <v>Markieff Morris</v>
      </c>
      <c r="B35" s="23" t="s">
        <v>319</v>
      </c>
      <c r="C35" s="34">
        <v>22.9</v>
      </c>
      <c r="D35" s="32"/>
      <c r="E35" s="23" t="s">
        <v>319</v>
      </c>
      <c r="F35" s="16">
        <v>3.0</v>
      </c>
      <c r="G35" s="33" t="s">
        <v>294</v>
      </c>
      <c r="H35" s="16" t="s">
        <v>308</v>
      </c>
      <c r="I35" s="16" t="s">
        <v>267</v>
      </c>
      <c r="J35" s="16">
        <v>212.5</v>
      </c>
      <c r="K35" s="41">
        <v>103.5</v>
      </c>
      <c r="L35" s="37">
        <v>6.0</v>
      </c>
      <c r="M35" s="22">
        <v>50.0</v>
      </c>
      <c r="N35" s="42">
        <f>+44</f>
        <v>44</v>
      </c>
      <c r="O35" s="34">
        <v>22.9</v>
      </c>
      <c r="P35" s="22">
        <v>4900.0</v>
      </c>
      <c r="Q35" s="22">
        <v>214.0</v>
      </c>
      <c r="R35" s="22"/>
      <c r="S35" s="22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30" t="str">
        <f t="shared" si="1"/>
        <v>Larry Nance</v>
      </c>
      <c r="B36" s="23" t="s">
        <v>320</v>
      </c>
      <c r="C36" s="34">
        <v>22.7</v>
      </c>
      <c r="D36" s="32"/>
      <c r="E36" s="23" t="s">
        <v>320</v>
      </c>
      <c r="F36" s="16">
        <v>1.0</v>
      </c>
      <c r="G36" s="33" t="s">
        <v>283</v>
      </c>
      <c r="H36" s="16" t="s">
        <v>289</v>
      </c>
      <c r="I36" s="16" t="s">
        <v>259</v>
      </c>
      <c r="J36" s="16">
        <v>224.5</v>
      </c>
      <c r="K36" s="39">
        <v>109.0</v>
      </c>
      <c r="L36" s="37">
        <v>7.0</v>
      </c>
      <c r="M36" s="22">
        <v>13.0</v>
      </c>
      <c r="N36" s="40">
        <f>+6</f>
        <v>6</v>
      </c>
      <c r="O36" s="34">
        <v>22.7</v>
      </c>
      <c r="P36" s="22">
        <v>7500.0</v>
      </c>
      <c r="Q36" s="22">
        <v>331.0</v>
      </c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30" t="str">
        <f t="shared" si="1"/>
        <v>Kevon Looney</v>
      </c>
      <c r="B37" s="23" t="s">
        <v>321</v>
      </c>
      <c r="C37" s="34">
        <v>22.4</v>
      </c>
      <c r="D37" s="32"/>
      <c r="E37" s="23" t="s">
        <v>321</v>
      </c>
      <c r="F37" s="16">
        <v>1.0</v>
      </c>
      <c r="G37" s="33" t="s">
        <v>257</v>
      </c>
      <c r="H37" s="16" t="s">
        <v>291</v>
      </c>
      <c r="I37" s="16" t="s">
        <v>259</v>
      </c>
      <c r="J37" s="16">
        <v>224.5</v>
      </c>
      <c r="K37" s="16">
        <v>115.5</v>
      </c>
      <c r="L37" s="37">
        <v>8.0</v>
      </c>
      <c r="M37" s="22">
        <v>128.0</v>
      </c>
      <c r="N37" s="43">
        <f>+120</f>
        <v>120</v>
      </c>
      <c r="O37" s="34">
        <v>22.4</v>
      </c>
      <c r="P37" s="22">
        <v>3500.0</v>
      </c>
      <c r="Q37" s="22">
        <v>156.0</v>
      </c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30" t="str">
        <f t="shared" si="1"/>
        <v>Lou Williams</v>
      </c>
      <c r="B38" s="23" t="s">
        <v>322</v>
      </c>
      <c r="C38" s="34">
        <v>22.1</v>
      </c>
      <c r="D38" s="32"/>
      <c r="E38" s="23" t="s">
        <v>322</v>
      </c>
      <c r="F38" s="16">
        <v>2.0</v>
      </c>
      <c r="G38" s="33" t="s">
        <v>269</v>
      </c>
      <c r="H38" s="16" t="s">
        <v>318</v>
      </c>
      <c r="I38" s="16" t="s">
        <v>255</v>
      </c>
      <c r="J38" s="16">
        <v>231.0</v>
      </c>
      <c r="K38" s="16">
        <v>113.0</v>
      </c>
      <c r="L38" s="37">
        <v>7.0</v>
      </c>
      <c r="M38" s="22">
        <v>55.0</v>
      </c>
      <c r="N38" s="42">
        <f>+48</f>
        <v>48</v>
      </c>
      <c r="O38" s="34">
        <v>22.1</v>
      </c>
      <c r="P38" s="22">
        <v>4400.0</v>
      </c>
      <c r="Q38" s="22">
        <v>199.0</v>
      </c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30" t="str">
        <f t="shared" si="1"/>
        <v>Talen Horton-Tucker</v>
      </c>
      <c r="B39" s="23" t="s">
        <v>323</v>
      </c>
      <c r="C39" s="34">
        <v>22.0</v>
      </c>
      <c r="D39" s="32"/>
      <c r="E39" s="23" t="s">
        <v>323</v>
      </c>
      <c r="F39" s="16">
        <v>2.0</v>
      </c>
      <c r="G39" s="33" t="s">
        <v>294</v>
      </c>
      <c r="H39" s="16" t="s">
        <v>324</v>
      </c>
      <c r="I39" s="16" t="s">
        <v>267</v>
      </c>
      <c r="J39" s="16">
        <v>212.5</v>
      </c>
      <c r="K39" s="41">
        <v>103.5</v>
      </c>
      <c r="L39" s="37">
        <v>8.0</v>
      </c>
      <c r="M39" s="22">
        <v>32.0</v>
      </c>
      <c r="N39" s="40">
        <f>+24</f>
        <v>24</v>
      </c>
      <c r="O39" s="34">
        <v>22.0</v>
      </c>
      <c r="P39" s="22">
        <v>6100.0</v>
      </c>
      <c r="Q39" s="22">
        <v>277.0</v>
      </c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30" t="str">
        <f t="shared" si="1"/>
        <v>Tristan Thompson</v>
      </c>
      <c r="B40" s="23" t="s">
        <v>325</v>
      </c>
      <c r="C40" s="34">
        <v>21.7</v>
      </c>
      <c r="D40" s="32"/>
      <c r="E40" s="23" t="s">
        <v>325</v>
      </c>
      <c r="F40" s="16">
        <v>2.0</v>
      </c>
      <c r="G40" s="33" t="s">
        <v>265</v>
      </c>
      <c r="H40" s="16" t="s">
        <v>298</v>
      </c>
      <c r="I40" s="16" t="s">
        <v>267</v>
      </c>
      <c r="J40" s="16">
        <v>212.5</v>
      </c>
      <c r="K40" s="39">
        <v>109.5</v>
      </c>
      <c r="L40" s="37">
        <v>9.0</v>
      </c>
      <c r="M40" s="22">
        <v>61.0</v>
      </c>
      <c r="N40" s="42">
        <f>+52</f>
        <v>52</v>
      </c>
      <c r="O40" s="34">
        <v>21.7</v>
      </c>
      <c r="P40" s="22">
        <v>4200.0</v>
      </c>
      <c r="Q40" s="22">
        <v>194.0</v>
      </c>
      <c r="R40" s="22"/>
      <c r="S40" s="22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30" t="str">
        <f t="shared" si="1"/>
        <v>Jae Crowder</v>
      </c>
      <c r="B41" s="23" t="s">
        <v>326</v>
      </c>
      <c r="C41" s="34">
        <v>20.8</v>
      </c>
      <c r="D41" s="32"/>
      <c r="E41" s="23" t="s">
        <v>326</v>
      </c>
      <c r="F41" s="16">
        <v>2.0</v>
      </c>
      <c r="G41" s="33" t="s">
        <v>274</v>
      </c>
      <c r="H41" s="16" t="s">
        <v>300</v>
      </c>
      <c r="I41" s="16" t="s">
        <v>263</v>
      </c>
      <c r="J41" s="16">
        <v>234.5</v>
      </c>
      <c r="K41" s="31">
        <v>124.0</v>
      </c>
      <c r="L41" s="37">
        <v>8.0</v>
      </c>
      <c r="M41" s="22">
        <v>53.0</v>
      </c>
      <c r="N41" s="42">
        <f>+45</f>
        <v>45</v>
      </c>
      <c r="O41" s="34">
        <v>20.8</v>
      </c>
      <c r="P41" s="22">
        <v>4800.0</v>
      </c>
      <c r="Q41" s="22">
        <v>231.0</v>
      </c>
      <c r="R41" s="22"/>
      <c r="S41" s="22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30" t="str">
        <f t="shared" si="1"/>
        <v>Montrezl Harrell</v>
      </c>
      <c r="B42" s="23" t="s">
        <v>327</v>
      </c>
      <c r="C42" s="16">
        <v>19.7</v>
      </c>
      <c r="D42" s="32"/>
      <c r="E42" s="23" t="s">
        <v>327</v>
      </c>
      <c r="F42" s="16">
        <v>2.0</v>
      </c>
      <c r="G42" s="33" t="s">
        <v>294</v>
      </c>
      <c r="H42" s="16" t="s">
        <v>300</v>
      </c>
      <c r="I42" s="16" t="s">
        <v>267</v>
      </c>
      <c r="J42" s="16">
        <v>212.5</v>
      </c>
      <c r="K42" s="41">
        <v>103.5</v>
      </c>
      <c r="L42" s="37">
        <v>10.0</v>
      </c>
      <c r="M42" s="22">
        <v>44.0</v>
      </c>
      <c r="N42" s="42">
        <f>+34</f>
        <v>34</v>
      </c>
      <c r="O42" s="16">
        <v>19.7</v>
      </c>
      <c r="P42" s="22">
        <v>5200.0</v>
      </c>
      <c r="Q42" s="22">
        <v>264.0</v>
      </c>
      <c r="R42" s="22"/>
      <c r="S42" s="22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30" t="str">
        <f t="shared" si="1"/>
        <v>Bobby Portis</v>
      </c>
      <c r="B43" s="23" t="s">
        <v>328</v>
      </c>
      <c r="C43" s="16">
        <v>19.7</v>
      </c>
      <c r="D43" s="32"/>
      <c r="E43" s="23" t="s">
        <v>328</v>
      </c>
      <c r="F43" s="16">
        <v>1.0</v>
      </c>
      <c r="G43" s="33" t="s">
        <v>253</v>
      </c>
      <c r="H43" s="16" t="s">
        <v>254</v>
      </c>
      <c r="I43" s="16" t="s">
        <v>255</v>
      </c>
      <c r="J43" s="16">
        <v>231.0</v>
      </c>
      <c r="K43" s="34">
        <v>118.5</v>
      </c>
      <c r="L43" s="37">
        <v>9.0</v>
      </c>
      <c r="M43" s="22">
        <v>33.0</v>
      </c>
      <c r="N43" s="40">
        <f>+24</f>
        <v>24</v>
      </c>
      <c r="O43" s="16">
        <v>19.7</v>
      </c>
      <c r="P43" s="22">
        <v>6000.0</v>
      </c>
      <c r="Q43" s="22">
        <v>304.0</v>
      </c>
      <c r="R43" s="22"/>
      <c r="S43" s="22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30" t="str">
        <f t="shared" si="1"/>
        <v>Jordan Poole</v>
      </c>
      <c r="B44" s="23" t="s">
        <v>329</v>
      </c>
      <c r="C44" s="16">
        <v>19.3</v>
      </c>
      <c r="D44" s="32"/>
      <c r="E44" s="23" t="s">
        <v>329</v>
      </c>
      <c r="F44" s="16">
        <v>1.0</v>
      </c>
      <c r="G44" s="33" t="s">
        <v>257</v>
      </c>
      <c r="H44" s="16" t="s">
        <v>258</v>
      </c>
      <c r="I44" s="16" t="s">
        <v>259</v>
      </c>
      <c r="J44" s="16">
        <v>224.5</v>
      </c>
      <c r="K44" s="16">
        <v>115.5</v>
      </c>
      <c r="L44" s="37">
        <v>9.0</v>
      </c>
      <c r="M44" s="22">
        <v>66.0</v>
      </c>
      <c r="N44" s="42">
        <f>+57</f>
        <v>57</v>
      </c>
      <c r="O44" s="16">
        <v>19.3</v>
      </c>
      <c r="P44" s="22">
        <v>4000.0</v>
      </c>
      <c r="Q44" s="22">
        <v>208.0</v>
      </c>
      <c r="R44" s="22"/>
      <c r="S44" s="22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30" t="str">
        <f t="shared" si="1"/>
        <v>Isaac Okoro</v>
      </c>
      <c r="B45" s="23" t="s">
        <v>330</v>
      </c>
      <c r="C45" s="16">
        <v>18.8</v>
      </c>
      <c r="D45" s="32"/>
      <c r="E45" s="23" t="s">
        <v>330</v>
      </c>
      <c r="F45" s="16">
        <v>1.0</v>
      </c>
      <c r="G45" s="33" t="s">
        <v>283</v>
      </c>
      <c r="H45" s="16" t="s">
        <v>286</v>
      </c>
      <c r="I45" s="16" t="s">
        <v>259</v>
      </c>
      <c r="J45" s="16">
        <v>224.5</v>
      </c>
      <c r="K45" s="39">
        <v>109.0</v>
      </c>
      <c r="L45" s="37">
        <v>9.0</v>
      </c>
      <c r="M45" s="22">
        <v>70.0</v>
      </c>
      <c r="N45" s="44">
        <f>+61</f>
        <v>61</v>
      </c>
      <c r="O45" s="16">
        <v>18.8</v>
      </c>
      <c r="P45" s="22">
        <v>3900.0</v>
      </c>
      <c r="Q45" s="22">
        <v>207.0</v>
      </c>
      <c r="R45" s="22"/>
      <c r="S45" s="22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30" t="str">
        <f t="shared" si="1"/>
        <v>Kentavious Caldwell-Pope</v>
      </c>
      <c r="B46" s="23" t="s">
        <v>331</v>
      </c>
      <c r="C46" s="16">
        <v>18.4</v>
      </c>
      <c r="D46" s="32"/>
      <c r="E46" s="23" t="s">
        <v>331</v>
      </c>
      <c r="F46" s="16">
        <v>2.0</v>
      </c>
      <c r="G46" s="33" t="s">
        <v>294</v>
      </c>
      <c r="H46" s="16" t="s">
        <v>308</v>
      </c>
      <c r="I46" s="16" t="s">
        <v>267</v>
      </c>
      <c r="J46" s="16">
        <v>212.5</v>
      </c>
      <c r="K46" s="41">
        <v>103.5</v>
      </c>
      <c r="L46" s="37">
        <v>8.0</v>
      </c>
      <c r="M46" s="22">
        <v>39.0</v>
      </c>
      <c r="N46" s="40">
        <f>+31</f>
        <v>31</v>
      </c>
      <c r="O46" s="16">
        <v>18.4</v>
      </c>
      <c r="P46" s="22">
        <v>5400.0</v>
      </c>
      <c r="Q46" s="22">
        <v>294.0</v>
      </c>
      <c r="R46" s="22"/>
      <c r="S46" s="22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30" t="str">
        <f t="shared" si="1"/>
        <v>Alex Caruso</v>
      </c>
      <c r="B47" s="23" t="s">
        <v>332</v>
      </c>
      <c r="C47" s="16">
        <v>16.8</v>
      </c>
      <c r="D47" s="32"/>
      <c r="E47" s="23" t="s">
        <v>332</v>
      </c>
      <c r="F47" s="16">
        <v>2.0</v>
      </c>
      <c r="G47" s="33" t="s">
        <v>294</v>
      </c>
      <c r="H47" s="16" t="s">
        <v>295</v>
      </c>
      <c r="I47" s="16" t="s">
        <v>267</v>
      </c>
      <c r="J47" s="16">
        <v>212.5</v>
      </c>
      <c r="K47" s="41">
        <v>103.5</v>
      </c>
      <c r="L47" s="37">
        <v>10.0</v>
      </c>
      <c r="M47" s="22">
        <v>73.0</v>
      </c>
      <c r="N47" s="44">
        <f>+63</f>
        <v>63</v>
      </c>
      <c r="O47" s="16">
        <v>16.8</v>
      </c>
      <c r="P47" s="22">
        <v>3700.0</v>
      </c>
      <c r="Q47" s="22">
        <v>220.0</v>
      </c>
      <c r="R47" s="22"/>
      <c r="S47" s="22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30" t="str">
        <f t="shared" si="1"/>
        <v>Cameron Payne</v>
      </c>
      <c r="B48" s="23" t="s">
        <v>333</v>
      </c>
      <c r="C48" s="16">
        <v>16.8</v>
      </c>
      <c r="D48" s="32"/>
      <c r="E48" s="23" t="s">
        <v>333</v>
      </c>
      <c r="F48" s="16">
        <v>2.0</v>
      </c>
      <c r="G48" s="33" t="s">
        <v>274</v>
      </c>
      <c r="H48" s="16" t="s">
        <v>277</v>
      </c>
      <c r="I48" s="16" t="s">
        <v>263</v>
      </c>
      <c r="J48" s="16">
        <v>234.5</v>
      </c>
      <c r="K48" s="31">
        <v>124.0</v>
      </c>
      <c r="L48" s="22">
        <v>11.0</v>
      </c>
      <c r="M48" s="22">
        <v>69.0</v>
      </c>
      <c r="N48" s="42">
        <f>+58</f>
        <v>58</v>
      </c>
      <c r="O48" s="16">
        <v>16.8</v>
      </c>
      <c r="P48" s="22">
        <v>3900.0</v>
      </c>
      <c r="Q48" s="22">
        <v>232.0</v>
      </c>
      <c r="R48" s="22"/>
      <c r="S48" s="22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30" t="str">
        <f t="shared" si="1"/>
        <v>Taurean Prince</v>
      </c>
      <c r="B49" s="23" t="s">
        <v>334</v>
      </c>
      <c r="C49" s="16">
        <v>16.7</v>
      </c>
      <c r="D49" s="32"/>
      <c r="E49" s="23" t="s">
        <v>334</v>
      </c>
      <c r="F49" s="16">
        <v>1.0</v>
      </c>
      <c r="G49" s="33" t="s">
        <v>283</v>
      </c>
      <c r="H49" s="16" t="s">
        <v>300</v>
      </c>
      <c r="I49" s="16" t="s">
        <v>259</v>
      </c>
      <c r="J49" s="16">
        <v>224.5</v>
      </c>
      <c r="K49" s="39">
        <v>109.0</v>
      </c>
      <c r="L49" s="37">
        <v>9.0</v>
      </c>
      <c r="M49" s="22">
        <v>42.0</v>
      </c>
      <c r="N49" s="42">
        <f>+33</f>
        <v>33</v>
      </c>
      <c r="O49" s="16">
        <v>16.7</v>
      </c>
      <c r="P49" s="22">
        <v>5300.0</v>
      </c>
      <c r="Q49" s="22">
        <v>318.0</v>
      </c>
      <c r="R49" s="22"/>
      <c r="S49" s="22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30" t="str">
        <f t="shared" si="1"/>
        <v>Delon Wright</v>
      </c>
      <c r="B50" s="23" t="s">
        <v>335</v>
      </c>
      <c r="C50" s="16">
        <v>16.4</v>
      </c>
      <c r="D50" s="32"/>
      <c r="E50" s="23" t="s">
        <v>335</v>
      </c>
      <c r="F50" s="16">
        <v>1.0</v>
      </c>
      <c r="G50" s="33" t="s">
        <v>261</v>
      </c>
      <c r="H50" s="16" t="s">
        <v>262</v>
      </c>
      <c r="I50" s="16" t="s">
        <v>263</v>
      </c>
      <c r="J50" s="16">
        <v>234.5</v>
      </c>
      <c r="K50" s="16">
        <v>111.0</v>
      </c>
      <c r="L50" s="22">
        <v>12.0</v>
      </c>
      <c r="M50" s="22">
        <v>63.0</v>
      </c>
      <c r="N50" s="42">
        <f>+51</f>
        <v>51</v>
      </c>
      <c r="O50" s="16">
        <v>16.4</v>
      </c>
      <c r="P50" s="22">
        <v>4000.0</v>
      </c>
      <c r="Q50" s="22">
        <v>244.0</v>
      </c>
      <c r="R50" s="22"/>
      <c r="S50" s="22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30" t="str">
        <f t="shared" si="1"/>
        <v>Pat Connaughton</v>
      </c>
      <c r="B51" s="23" t="s">
        <v>336</v>
      </c>
      <c r="C51" s="16">
        <v>16.2</v>
      </c>
      <c r="D51" s="32"/>
      <c r="E51" s="23" t="s">
        <v>336</v>
      </c>
      <c r="F51" s="16">
        <v>1.0</v>
      </c>
      <c r="G51" s="33" t="s">
        <v>253</v>
      </c>
      <c r="H51" s="16" t="s">
        <v>337</v>
      </c>
      <c r="I51" s="16" t="s">
        <v>255</v>
      </c>
      <c r="J51" s="16">
        <v>231.0</v>
      </c>
      <c r="K51" s="34">
        <v>118.5</v>
      </c>
      <c r="L51" s="37">
        <v>10.0</v>
      </c>
      <c r="M51" s="22">
        <v>59.0</v>
      </c>
      <c r="N51" s="42">
        <f>+49</f>
        <v>49</v>
      </c>
      <c r="O51" s="16">
        <v>16.2</v>
      </c>
      <c r="P51" s="22">
        <v>4200.0</v>
      </c>
      <c r="Q51" s="22">
        <v>259.0</v>
      </c>
      <c r="R51" s="22"/>
      <c r="S51" s="22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30" t="str">
        <f t="shared" si="1"/>
        <v>Juan Toscano-Anderson</v>
      </c>
      <c r="B52" s="23" t="s">
        <v>338</v>
      </c>
      <c r="C52" s="16">
        <v>15.2</v>
      </c>
      <c r="D52" s="32"/>
      <c r="E52" s="23" t="s">
        <v>338</v>
      </c>
      <c r="F52" s="16">
        <v>1.0</v>
      </c>
      <c r="G52" s="33" t="s">
        <v>257</v>
      </c>
      <c r="H52" s="16" t="s">
        <v>277</v>
      </c>
      <c r="I52" s="16" t="s">
        <v>259</v>
      </c>
      <c r="J52" s="16">
        <v>224.5</v>
      </c>
      <c r="K52" s="16">
        <v>115.5</v>
      </c>
      <c r="L52" s="37">
        <v>10.0</v>
      </c>
      <c r="M52" s="22">
        <v>72.0</v>
      </c>
      <c r="N52" s="44">
        <f>+62</f>
        <v>62</v>
      </c>
      <c r="O52" s="16">
        <v>15.2</v>
      </c>
      <c r="P52" s="22">
        <v>3800.0</v>
      </c>
      <c r="Q52" s="22">
        <v>251.0</v>
      </c>
      <c r="R52" s="22"/>
      <c r="S52" s="22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30" t="str">
        <f t="shared" si="1"/>
        <v>Cameron Johnson</v>
      </c>
      <c r="B53" s="23" t="s">
        <v>339</v>
      </c>
      <c r="C53" s="16">
        <v>14.6</v>
      </c>
      <c r="D53" s="32"/>
      <c r="E53" s="23" t="s">
        <v>339</v>
      </c>
      <c r="F53" s="16">
        <v>2.0</v>
      </c>
      <c r="G53" s="33" t="s">
        <v>274</v>
      </c>
      <c r="H53" s="16" t="s">
        <v>286</v>
      </c>
      <c r="I53" s="16" t="s">
        <v>263</v>
      </c>
      <c r="J53" s="16">
        <v>234.5</v>
      </c>
      <c r="K53" s="31">
        <v>124.0</v>
      </c>
      <c r="L53" s="37">
        <v>10.0</v>
      </c>
      <c r="M53" s="22">
        <v>65.0</v>
      </c>
      <c r="N53" s="42">
        <f>+55</f>
        <v>55</v>
      </c>
      <c r="O53" s="16">
        <v>14.6</v>
      </c>
      <c r="P53" s="22">
        <v>4000.0</v>
      </c>
      <c r="Q53" s="22">
        <v>273.0</v>
      </c>
      <c r="R53" s="22"/>
      <c r="S53" s="22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30" t="str">
        <f t="shared" si="1"/>
        <v>Damion Lee</v>
      </c>
      <c r="B54" s="23" t="s">
        <v>340</v>
      </c>
      <c r="C54" s="16">
        <v>14.3</v>
      </c>
      <c r="D54" s="32"/>
      <c r="E54" s="23" t="s">
        <v>340</v>
      </c>
      <c r="F54" s="16">
        <v>1.0</v>
      </c>
      <c r="G54" s="33" t="s">
        <v>257</v>
      </c>
      <c r="H54" s="16" t="s">
        <v>277</v>
      </c>
      <c r="I54" s="16" t="s">
        <v>259</v>
      </c>
      <c r="J54" s="16">
        <v>224.5</v>
      </c>
      <c r="K54" s="16">
        <v>115.5</v>
      </c>
      <c r="L54" s="22">
        <v>11.0</v>
      </c>
      <c r="M54" s="22">
        <v>74.0</v>
      </c>
      <c r="N54" s="44">
        <f>+63</f>
        <v>63</v>
      </c>
      <c r="O54" s="16">
        <v>14.3</v>
      </c>
      <c r="P54" s="22">
        <v>3700.0</v>
      </c>
      <c r="Q54" s="22">
        <v>259.0</v>
      </c>
      <c r="R54" s="22"/>
      <c r="S54" s="22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30" t="str">
        <f t="shared" si="1"/>
        <v>Dario Saric</v>
      </c>
      <c r="B55" s="23" t="s">
        <v>341</v>
      </c>
      <c r="C55" s="16">
        <v>14.2</v>
      </c>
      <c r="D55" s="32"/>
      <c r="E55" s="23" t="s">
        <v>341</v>
      </c>
      <c r="F55" s="16">
        <v>2.0</v>
      </c>
      <c r="G55" s="33" t="s">
        <v>274</v>
      </c>
      <c r="H55" s="16" t="s">
        <v>300</v>
      </c>
      <c r="I55" s="16" t="s">
        <v>263</v>
      </c>
      <c r="J55" s="16">
        <v>234.5</v>
      </c>
      <c r="K55" s="31">
        <v>124.0</v>
      </c>
      <c r="L55" s="22">
        <v>11.0</v>
      </c>
      <c r="M55" s="22">
        <v>76.0</v>
      </c>
      <c r="N55" s="44">
        <f>+65</f>
        <v>65</v>
      </c>
      <c r="O55" s="16">
        <v>14.2</v>
      </c>
      <c r="P55" s="22">
        <v>3700.0</v>
      </c>
      <c r="Q55" s="22">
        <v>261.0</v>
      </c>
      <c r="R55" s="22"/>
      <c r="S55" s="22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30" t="str">
        <f t="shared" si="1"/>
        <v>Solomon Hill</v>
      </c>
      <c r="B56" s="23" t="s">
        <v>342</v>
      </c>
      <c r="C56" s="16">
        <v>14.0</v>
      </c>
      <c r="D56" s="32"/>
      <c r="E56" s="23" t="s">
        <v>342</v>
      </c>
      <c r="F56" s="16">
        <v>2.0</v>
      </c>
      <c r="G56" s="33" t="s">
        <v>269</v>
      </c>
      <c r="H56" s="16" t="s">
        <v>277</v>
      </c>
      <c r="I56" s="16" t="s">
        <v>255</v>
      </c>
      <c r="J56" s="16">
        <v>231.0</v>
      </c>
      <c r="K56" s="16">
        <v>113.0</v>
      </c>
      <c r="L56" s="22">
        <v>11.0</v>
      </c>
      <c r="M56" s="22">
        <v>112.0</v>
      </c>
      <c r="N56" s="43">
        <f>+101</f>
        <v>101</v>
      </c>
      <c r="O56" s="16">
        <v>14.0</v>
      </c>
      <c r="P56" s="22">
        <v>3500.0</v>
      </c>
      <c r="Q56" s="22">
        <v>251.0</v>
      </c>
      <c r="R56" s="22"/>
      <c r="S56" s="22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30" t="str">
        <f t="shared" si="1"/>
        <v>Dean Wade</v>
      </c>
      <c r="B57" s="23" t="s">
        <v>343</v>
      </c>
      <c r="C57" s="16">
        <v>13.3</v>
      </c>
      <c r="D57" s="32"/>
      <c r="E57" s="23" t="s">
        <v>343</v>
      </c>
      <c r="F57" s="16">
        <v>1.0</v>
      </c>
      <c r="G57" s="33" t="s">
        <v>283</v>
      </c>
      <c r="H57" s="16" t="s">
        <v>289</v>
      </c>
      <c r="I57" s="16" t="s">
        <v>259</v>
      </c>
      <c r="J57" s="16">
        <v>224.5</v>
      </c>
      <c r="K57" s="39">
        <v>109.0</v>
      </c>
      <c r="L57" s="22">
        <v>12.0</v>
      </c>
      <c r="M57" s="22">
        <v>43.0</v>
      </c>
      <c r="N57" s="40">
        <f>+31</f>
        <v>31</v>
      </c>
      <c r="O57" s="16">
        <v>13.3</v>
      </c>
      <c r="P57" s="22">
        <v>5200.0</v>
      </c>
      <c r="Q57" s="22">
        <v>391.0</v>
      </c>
      <c r="R57" s="22"/>
      <c r="S57" s="22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30" t="str">
        <f t="shared" si="1"/>
        <v>Torrey Craig</v>
      </c>
      <c r="B58" s="23" t="s">
        <v>344</v>
      </c>
      <c r="C58" s="16">
        <v>12.9</v>
      </c>
      <c r="D58" s="32"/>
      <c r="E58" s="23" t="s">
        <v>344</v>
      </c>
      <c r="F58" s="16">
        <v>2.0</v>
      </c>
      <c r="G58" s="33" t="s">
        <v>274</v>
      </c>
      <c r="H58" s="16" t="s">
        <v>275</v>
      </c>
      <c r="I58" s="16" t="s">
        <v>263</v>
      </c>
      <c r="J58" s="16">
        <v>234.5</v>
      </c>
      <c r="K58" s="31">
        <v>124.0</v>
      </c>
      <c r="L58" s="22">
        <v>12.0</v>
      </c>
      <c r="M58" s="22">
        <v>67.0</v>
      </c>
      <c r="N58" s="42">
        <f>+55</f>
        <v>55</v>
      </c>
      <c r="O58" s="16">
        <v>12.9</v>
      </c>
      <c r="P58" s="22">
        <v>3900.0</v>
      </c>
      <c r="Q58" s="22">
        <v>301.0</v>
      </c>
      <c r="R58" s="22"/>
      <c r="S58" s="22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30" t="str">
        <f t="shared" si="1"/>
        <v>Maurice Harkless</v>
      </c>
      <c r="B59" s="23" t="s">
        <v>345</v>
      </c>
      <c r="C59" s="16">
        <v>12.6</v>
      </c>
      <c r="D59" s="32"/>
      <c r="E59" s="23" t="s">
        <v>345</v>
      </c>
      <c r="F59" s="16">
        <v>1.0</v>
      </c>
      <c r="G59" s="33" t="s">
        <v>261</v>
      </c>
      <c r="H59" s="16" t="s">
        <v>311</v>
      </c>
      <c r="I59" s="16" t="s">
        <v>263</v>
      </c>
      <c r="J59" s="16">
        <v>234.5</v>
      </c>
      <c r="K59" s="16">
        <v>111.0</v>
      </c>
      <c r="L59" s="22">
        <v>12.0</v>
      </c>
      <c r="M59" s="22">
        <v>68.0</v>
      </c>
      <c r="N59" s="42">
        <f>+56</f>
        <v>56</v>
      </c>
      <c r="O59" s="16">
        <v>12.6</v>
      </c>
      <c r="P59" s="22">
        <v>3900.0</v>
      </c>
      <c r="Q59" s="22">
        <v>310.0</v>
      </c>
      <c r="R59" s="22"/>
      <c r="S59" s="22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30" t="str">
        <f t="shared" si="1"/>
        <v>Nathan Knight</v>
      </c>
      <c r="B60" s="23" t="s">
        <v>346</v>
      </c>
      <c r="C60" s="16">
        <v>11.8</v>
      </c>
      <c r="D60" s="32"/>
      <c r="E60" s="23" t="s">
        <v>346</v>
      </c>
      <c r="F60" s="16">
        <v>2.0</v>
      </c>
      <c r="G60" s="33" t="s">
        <v>269</v>
      </c>
      <c r="H60" s="16" t="s">
        <v>305</v>
      </c>
      <c r="I60" s="16" t="s">
        <v>255</v>
      </c>
      <c r="J60" s="16">
        <v>231.0</v>
      </c>
      <c r="K60" s="16">
        <v>113.0</v>
      </c>
      <c r="L60" s="22">
        <v>13.0</v>
      </c>
      <c r="M60" s="22">
        <v>122.0</v>
      </c>
      <c r="N60" s="43">
        <f>+109</f>
        <v>109</v>
      </c>
      <c r="O60" s="16">
        <v>11.8</v>
      </c>
      <c r="P60" s="22">
        <v>3500.0</v>
      </c>
      <c r="Q60" s="22">
        <v>297.0</v>
      </c>
      <c r="R60" s="22"/>
      <c r="S60" s="22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30" t="str">
        <f t="shared" si="1"/>
        <v>Matthew Dellavedova</v>
      </c>
      <c r="B61" s="23" t="s">
        <v>347</v>
      </c>
      <c r="C61" s="16">
        <v>11.8</v>
      </c>
      <c r="D61" s="32"/>
      <c r="E61" s="23" t="s">
        <v>347</v>
      </c>
      <c r="F61" s="16">
        <v>1.0</v>
      </c>
      <c r="G61" s="33" t="s">
        <v>283</v>
      </c>
      <c r="H61" s="16" t="s">
        <v>266</v>
      </c>
      <c r="I61" s="16" t="s">
        <v>259</v>
      </c>
      <c r="J61" s="16">
        <v>224.5</v>
      </c>
      <c r="K61" s="39">
        <v>109.0</v>
      </c>
      <c r="L61" s="22">
        <v>13.0</v>
      </c>
      <c r="M61" s="22">
        <v>105.0</v>
      </c>
      <c r="N61" s="43">
        <f>+92</f>
        <v>92</v>
      </c>
      <c r="O61" s="16">
        <v>11.8</v>
      </c>
      <c r="P61" s="22">
        <v>3500.0</v>
      </c>
      <c r="Q61" s="22">
        <v>297.0</v>
      </c>
      <c r="R61" s="22"/>
      <c r="S61" s="22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30" t="str">
        <f t="shared" si="1"/>
        <v>PJ Tucker</v>
      </c>
      <c r="B62" s="23" t="s">
        <v>348</v>
      </c>
      <c r="C62" s="16">
        <v>11.6</v>
      </c>
      <c r="D62" s="32"/>
      <c r="E62" s="23" t="s">
        <v>348</v>
      </c>
      <c r="F62" s="16">
        <v>1.0</v>
      </c>
      <c r="G62" s="33" t="s">
        <v>253</v>
      </c>
      <c r="H62" s="16" t="s">
        <v>254</v>
      </c>
      <c r="I62" s="16" t="s">
        <v>255</v>
      </c>
      <c r="J62" s="16">
        <v>231.0</v>
      </c>
      <c r="K62" s="34">
        <v>118.5</v>
      </c>
      <c r="L62" s="22">
        <v>14.0</v>
      </c>
      <c r="M62" s="22">
        <v>107.0</v>
      </c>
      <c r="N62" s="43">
        <f>+93</f>
        <v>93</v>
      </c>
      <c r="O62" s="16">
        <v>11.6</v>
      </c>
      <c r="P62" s="22">
        <v>3500.0</v>
      </c>
      <c r="Q62" s="22">
        <v>303.0</v>
      </c>
      <c r="R62" s="22"/>
      <c r="S62" s="22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30" t="str">
        <f t="shared" si="1"/>
        <v>Wesley Matthews</v>
      </c>
      <c r="B63" s="23" t="s">
        <v>349</v>
      </c>
      <c r="C63" s="16">
        <v>11.3</v>
      </c>
      <c r="D63" s="32"/>
      <c r="E63" s="23" t="s">
        <v>349</v>
      </c>
      <c r="F63" s="16">
        <v>2.0</v>
      </c>
      <c r="G63" s="33" t="s">
        <v>294</v>
      </c>
      <c r="H63" s="16" t="s">
        <v>324</v>
      </c>
      <c r="I63" s="16" t="s">
        <v>267</v>
      </c>
      <c r="J63" s="16">
        <v>212.5</v>
      </c>
      <c r="K63" s="41">
        <v>103.5</v>
      </c>
      <c r="L63" s="22">
        <v>13.0</v>
      </c>
      <c r="M63" s="22">
        <v>64.0</v>
      </c>
      <c r="N63" s="42">
        <f>+51</f>
        <v>51</v>
      </c>
      <c r="O63" s="16">
        <v>11.3</v>
      </c>
      <c r="P63" s="22">
        <v>4000.0</v>
      </c>
      <c r="Q63" s="22">
        <v>355.0</v>
      </c>
      <c r="R63" s="22"/>
      <c r="S63" s="22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30" t="str">
        <f t="shared" si="1"/>
        <v>Jeff Teague</v>
      </c>
      <c r="B64" s="23" t="s">
        <v>350</v>
      </c>
      <c r="C64" s="16">
        <v>11.2</v>
      </c>
      <c r="D64" s="32"/>
      <c r="E64" s="23" t="s">
        <v>350</v>
      </c>
      <c r="F64" s="16">
        <v>1.0</v>
      </c>
      <c r="G64" s="33" t="s">
        <v>253</v>
      </c>
      <c r="H64" s="16" t="s">
        <v>286</v>
      </c>
      <c r="I64" s="16" t="s">
        <v>255</v>
      </c>
      <c r="J64" s="16">
        <v>231.0</v>
      </c>
      <c r="K64" s="34">
        <v>118.5</v>
      </c>
      <c r="L64" s="22">
        <v>14.0</v>
      </c>
      <c r="M64" s="22">
        <v>56.0</v>
      </c>
      <c r="N64" s="42">
        <f>+42</f>
        <v>42</v>
      </c>
      <c r="O64" s="16">
        <v>11.2</v>
      </c>
      <c r="P64" s="22">
        <v>4400.0</v>
      </c>
      <c r="Q64" s="22">
        <v>393.0</v>
      </c>
      <c r="R64" s="22"/>
      <c r="S64" s="22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30" t="str">
        <f t="shared" si="1"/>
        <v>Terence Davis</v>
      </c>
      <c r="B65" s="23" t="s">
        <v>351</v>
      </c>
      <c r="C65" s="16">
        <v>10.4</v>
      </c>
      <c r="D65" s="32"/>
      <c r="E65" s="23" t="s">
        <v>351</v>
      </c>
      <c r="F65" s="16">
        <v>1.0</v>
      </c>
      <c r="G65" s="33" t="s">
        <v>261</v>
      </c>
      <c r="H65" s="16" t="s">
        <v>311</v>
      </c>
      <c r="I65" s="16" t="s">
        <v>263</v>
      </c>
      <c r="J65" s="16">
        <v>234.5</v>
      </c>
      <c r="K65" s="16">
        <v>111.0</v>
      </c>
      <c r="L65" s="22">
        <v>14.0</v>
      </c>
      <c r="M65" s="22">
        <v>82.0</v>
      </c>
      <c r="N65" s="44">
        <f>+68</f>
        <v>68</v>
      </c>
      <c r="O65" s="16">
        <v>10.4</v>
      </c>
      <c r="P65" s="22">
        <v>3500.0</v>
      </c>
      <c r="Q65" s="22">
        <v>337.0</v>
      </c>
      <c r="R65" s="22"/>
      <c r="S65" s="22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30" t="str">
        <f t="shared" si="1"/>
        <v>Jevon Carter</v>
      </c>
      <c r="B66" s="23" t="s">
        <v>352</v>
      </c>
      <c r="C66" s="16">
        <v>9.6</v>
      </c>
      <c r="D66" s="32"/>
      <c r="E66" s="23" t="s">
        <v>352</v>
      </c>
      <c r="F66" s="16">
        <v>2.0</v>
      </c>
      <c r="G66" s="33" t="s">
        <v>274</v>
      </c>
      <c r="H66" s="16" t="s">
        <v>275</v>
      </c>
      <c r="I66" s="16" t="s">
        <v>263</v>
      </c>
      <c r="J66" s="16">
        <v>234.5</v>
      </c>
      <c r="K66" s="31">
        <v>124.0</v>
      </c>
      <c r="L66" s="22">
        <v>15.0</v>
      </c>
      <c r="M66" s="22">
        <v>79.0</v>
      </c>
      <c r="N66" s="44">
        <f>+64</f>
        <v>64</v>
      </c>
      <c r="O66" s="16">
        <v>9.6</v>
      </c>
      <c r="P66" s="22">
        <v>3500.0</v>
      </c>
      <c r="Q66" s="22">
        <v>363.0</v>
      </c>
      <c r="R66" s="22"/>
      <c r="S66" s="22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30" t="str">
        <f t="shared" si="1"/>
        <v>Bryn Forbes</v>
      </c>
      <c r="B67" s="23" t="s">
        <v>353</v>
      </c>
      <c r="C67" s="16">
        <v>9.5</v>
      </c>
      <c r="D67" s="32"/>
      <c r="E67" s="23" t="s">
        <v>353</v>
      </c>
      <c r="F67" s="16">
        <v>1.0</v>
      </c>
      <c r="G67" s="33" t="s">
        <v>253</v>
      </c>
      <c r="H67" s="16" t="s">
        <v>286</v>
      </c>
      <c r="I67" s="16" t="s">
        <v>255</v>
      </c>
      <c r="J67" s="16">
        <v>231.0</v>
      </c>
      <c r="K67" s="34">
        <v>118.5</v>
      </c>
      <c r="L67" s="22">
        <v>15.0</v>
      </c>
      <c r="M67" s="22">
        <v>113.0</v>
      </c>
      <c r="N67" s="43">
        <f>+98</f>
        <v>98</v>
      </c>
      <c r="O67" s="16">
        <v>9.5</v>
      </c>
      <c r="P67" s="22">
        <v>3500.0</v>
      </c>
      <c r="Q67" s="22">
        <v>370.0</v>
      </c>
      <c r="R67" s="22"/>
      <c r="S67" s="22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30" t="str">
        <f t="shared" si="1"/>
        <v>Payton Pritchard</v>
      </c>
      <c r="B68" s="23" t="s">
        <v>354</v>
      </c>
      <c r="C68" s="16">
        <v>9.3</v>
      </c>
      <c r="D68" s="32"/>
      <c r="E68" s="23" t="s">
        <v>354</v>
      </c>
      <c r="F68" s="16">
        <v>2.0</v>
      </c>
      <c r="G68" s="33" t="s">
        <v>265</v>
      </c>
      <c r="H68" s="16" t="s">
        <v>291</v>
      </c>
      <c r="I68" s="16" t="s">
        <v>267</v>
      </c>
      <c r="J68" s="16">
        <v>212.5</v>
      </c>
      <c r="K68" s="39">
        <v>109.5</v>
      </c>
      <c r="L68" s="22">
        <v>16.0</v>
      </c>
      <c r="M68" s="22">
        <v>130.0</v>
      </c>
      <c r="N68" s="43">
        <f>+114</f>
        <v>114</v>
      </c>
      <c r="O68" s="16">
        <v>9.3</v>
      </c>
      <c r="P68" s="22">
        <v>3500.0</v>
      </c>
      <c r="Q68" s="22">
        <v>378.0</v>
      </c>
      <c r="R68" s="22"/>
      <c r="S68" s="22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30" t="str">
        <f t="shared" si="1"/>
        <v>Marc Gasol</v>
      </c>
      <c r="B69" s="23" t="s">
        <v>355</v>
      </c>
      <c r="C69" s="16">
        <v>9.1</v>
      </c>
      <c r="D69" s="32"/>
      <c r="E69" s="23" t="s">
        <v>355</v>
      </c>
      <c r="F69" s="16">
        <v>3.0</v>
      </c>
      <c r="G69" s="33" t="s">
        <v>294</v>
      </c>
      <c r="H69" s="16" t="s">
        <v>300</v>
      </c>
      <c r="I69" s="16" t="s">
        <v>267</v>
      </c>
      <c r="J69" s="16">
        <v>212.5</v>
      </c>
      <c r="K69" s="41">
        <v>103.5</v>
      </c>
      <c r="L69" s="22">
        <v>11.0</v>
      </c>
      <c r="M69" s="22">
        <v>71.0</v>
      </c>
      <c r="N69" s="42">
        <f>+60</f>
        <v>60</v>
      </c>
      <c r="O69" s="16">
        <v>9.1</v>
      </c>
      <c r="P69" s="22">
        <v>3900.0</v>
      </c>
      <c r="Q69" s="22">
        <v>429.0</v>
      </c>
      <c r="R69" s="22"/>
      <c r="S69" s="22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30" t="str">
        <f t="shared" si="1"/>
        <v>Chimezie Metu</v>
      </c>
      <c r="B70" s="23" t="s">
        <v>356</v>
      </c>
      <c r="C70" s="16">
        <v>8.9</v>
      </c>
      <c r="D70" s="32"/>
      <c r="E70" s="23" t="s">
        <v>356</v>
      </c>
      <c r="F70" s="16">
        <v>1.0</v>
      </c>
      <c r="G70" s="33" t="s">
        <v>261</v>
      </c>
      <c r="H70" s="16" t="s">
        <v>313</v>
      </c>
      <c r="I70" s="16" t="s">
        <v>263</v>
      </c>
      <c r="J70" s="16">
        <v>234.5</v>
      </c>
      <c r="K70" s="16">
        <v>111.0</v>
      </c>
      <c r="L70" s="22">
        <v>12.0</v>
      </c>
      <c r="M70" s="22">
        <v>86.0</v>
      </c>
      <c r="N70" s="44">
        <f>+74</f>
        <v>74</v>
      </c>
      <c r="O70" s="16">
        <v>8.9</v>
      </c>
      <c r="P70" s="22">
        <v>3500.0</v>
      </c>
      <c r="Q70" s="22">
        <v>391.0</v>
      </c>
      <c r="R70" s="22"/>
      <c r="S70" s="22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30" t="str">
        <f t="shared" si="1"/>
        <v>Onyeka Okongwu</v>
      </c>
      <c r="B71" s="23" t="s">
        <v>357</v>
      </c>
      <c r="C71" s="16">
        <v>8.7</v>
      </c>
      <c r="D71" s="32"/>
      <c r="E71" s="23" t="s">
        <v>357</v>
      </c>
      <c r="F71" s="16">
        <v>2.0</v>
      </c>
      <c r="G71" s="33" t="s">
        <v>269</v>
      </c>
      <c r="H71" s="16" t="s">
        <v>270</v>
      </c>
      <c r="I71" s="16" t="s">
        <v>255</v>
      </c>
      <c r="J71" s="16">
        <v>231.0</v>
      </c>
      <c r="K71" s="16">
        <v>113.0</v>
      </c>
      <c r="L71" s="22">
        <v>13.0</v>
      </c>
      <c r="M71" s="22">
        <v>57.0</v>
      </c>
      <c r="N71" s="42">
        <f>+44</f>
        <v>44</v>
      </c>
      <c r="O71" s="16">
        <v>8.7</v>
      </c>
      <c r="P71" s="22">
        <v>4400.0</v>
      </c>
      <c r="Q71" s="22">
        <v>505.0</v>
      </c>
      <c r="R71" s="22"/>
      <c r="S71" s="22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30" t="str">
        <f t="shared" si="1"/>
        <v>Damian Jones</v>
      </c>
      <c r="B72" s="23" t="s">
        <v>358</v>
      </c>
      <c r="C72" s="16">
        <v>8.7</v>
      </c>
      <c r="D72" s="32"/>
      <c r="E72" s="23" t="s">
        <v>358</v>
      </c>
      <c r="F72" s="16">
        <v>1.0</v>
      </c>
      <c r="G72" s="33" t="s">
        <v>261</v>
      </c>
      <c r="H72" s="16" t="s">
        <v>313</v>
      </c>
      <c r="I72" s="16" t="s">
        <v>263</v>
      </c>
      <c r="J72" s="16">
        <v>234.5</v>
      </c>
      <c r="K72" s="16">
        <v>111.0</v>
      </c>
      <c r="L72" s="22">
        <v>14.0</v>
      </c>
      <c r="M72" s="22">
        <v>117.0</v>
      </c>
      <c r="N72" s="43">
        <f>+103</f>
        <v>103</v>
      </c>
      <c r="O72" s="16">
        <v>8.7</v>
      </c>
      <c r="P72" s="22">
        <v>3500.0</v>
      </c>
      <c r="Q72" s="22">
        <v>403.0</v>
      </c>
      <c r="R72" s="22"/>
      <c r="S72" s="22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30" t="str">
        <f t="shared" si="1"/>
        <v>Grant Williams</v>
      </c>
      <c r="B73" s="23" t="s">
        <v>359</v>
      </c>
      <c r="C73" s="16">
        <v>8.5</v>
      </c>
      <c r="D73" s="32"/>
      <c r="E73" s="23" t="s">
        <v>359</v>
      </c>
      <c r="F73" s="16">
        <v>2.0</v>
      </c>
      <c r="G73" s="33" t="s">
        <v>265</v>
      </c>
      <c r="H73" s="16" t="s">
        <v>266</v>
      </c>
      <c r="I73" s="16" t="s">
        <v>267</v>
      </c>
      <c r="J73" s="16">
        <v>212.5</v>
      </c>
      <c r="K73" s="39">
        <v>109.5</v>
      </c>
      <c r="L73" s="22">
        <v>15.0</v>
      </c>
      <c r="M73" s="22">
        <v>77.0</v>
      </c>
      <c r="N73" s="44">
        <f>+62</f>
        <v>62</v>
      </c>
      <c r="O73" s="16">
        <v>8.5</v>
      </c>
      <c r="P73" s="22">
        <v>3500.0</v>
      </c>
      <c r="Q73" s="22">
        <v>411.0</v>
      </c>
      <c r="R73" s="22"/>
      <c r="S73" s="22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30" t="str">
        <f t="shared" si="1"/>
        <v>Frank Kaminsky</v>
      </c>
      <c r="B74" s="23" t="s">
        <v>360</v>
      </c>
      <c r="C74" s="16">
        <v>7.5</v>
      </c>
      <c r="D74" s="32"/>
      <c r="E74" s="23" t="s">
        <v>360</v>
      </c>
      <c r="F74" s="16">
        <v>5.0</v>
      </c>
      <c r="G74" s="33" t="s">
        <v>274</v>
      </c>
      <c r="H74" s="16" t="s">
        <v>300</v>
      </c>
      <c r="I74" s="16" t="s">
        <v>263</v>
      </c>
      <c r="J74" s="16">
        <v>234.5</v>
      </c>
      <c r="K74" s="31">
        <v>124.0</v>
      </c>
      <c r="L74" s="22">
        <v>16.0</v>
      </c>
      <c r="M74" s="22">
        <v>109.0</v>
      </c>
      <c r="N74" s="43">
        <f>+93</f>
        <v>93</v>
      </c>
      <c r="O74" s="16">
        <v>7.5</v>
      </c>
      <c r="P74" s="22">
        <v>3500.0</v>
      </c>
      <c r="Q74" s="22">
        <v>469.0</v>
      </c>
      <c r="R74" s="22"/>
      <c r="S74" s="22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30" t="str">
        <f t="shared" si="1"/>
        <v>Nico Mannion</v>
      </c>
      <c r="B75" s="23" t="s">
        <v>361</v>
      </c>
      <c r="C75" s="16">
        <v>7.1</v>
      </c>
      <c r="D75" s="32"/>
      <c r="E75" s="23" t="s">
        <v>361</v>
      </c>
      <c r="F75" s="16">
        <v>1.0</v>
      </c>
      <c r="G75" s="33" t="s">
        <v>257</v>
      </c>
      <c r="H75" s="16" t="s">
        <v>258</v>
      </c>
      <c r="I75" s="16" t="s">
        <v>259</v>
      </c>
      <c r="J75" s="16">
        <v>224.5</v>
      </c>
      <c r="K75" s="16">
        <v>115.5</v>
      </c>
      <c r="L75" s="22">
        <v>17.0</v>
      </c>
      <c r="M75" s="22">
        <v>125.0</v>
      </c>
      <c r="N75" s="43">
        <f>+108</f>
        <v>108</v>
      </c>
      <c r="O75" s="16">
        <v>7.1</v>
      </c>
      <c r="P75" s="22">
        <v>3500.0</v>
      </c>
      <c r="Q75" s="22">
        <v>493.0</v>
      </c>
      <c r="R75" s="22"/>
      <c r="S75" s="22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30" t="str">
        <f t="shared" si="1"/>
        <v>Romeo Langford</v>
      </c>
      <c r="B76" s="23" t="s">
        <v>362</v>
      </c>
      <c r="C76" s="16">
        <v>6.9</v>
      </c>
      <c r="D76" s="32"/>
      <c r="E76" s="23" t="s">
        <v>362</v>
      </c>
      <c r="F76" s="16">
        <v>2.0</v>
      </c>
      <c r="G76" s="33" t="s">
        <v>265</v>
      </c>
      <c r="H76" s="16" t="s">
        <v>302</v>
      </c>
      <c r="I76" s="16" t="s">
        <v>267</v>
      </c>
      <c r="J76" s="16">
        <v>212.5</v>
      </c>
      <c r="K76" s="39">
        <v>109.5</v>
      </c>
      <c r="L76" s="22">
        <v>16.0</v>
      </c>
      <c r="M76" s="22">
        <v>98.0</v>
      </c>
      <c r="N76" s="44">
        <f>+82</f>
        <v>82</v>
      </c>
      <c r="O76" s="16">
        <v>6.9</v>
      </c>
      <c r="P76" s="22">
        <v>3500.0</v>
      </c>
      <c r="Q76" s="22">
        <v>505.0</v>
      </c>
      <c r="R76" s="22"/>
      <c r="S76" s="22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30" t="str">
        <f t="shared" si="1"/>
        <v>Semi Ojeleye</v>
      </c>
      <c r="B77" s="23" t="s">
        <v>363</v>
      </c>
      <c r="C77" s="16">
        <v>6.4</v>
      </c>
      <c r="D77" s="32"/>
      <c r="E77" s="23" t="s">
        <v>363</v>
      </c>
      <c r="F77" s="16">
        <v>2.0</v>
      </c>
      <c r="G77" s="33" t="s">
        <v>265</v>
      </c>
      <c r="H77" s="16" t="s">
        <v>266</v>
      </c>
      <c r="I77" s="16" t="s">
        <v>267</v>
      </c>
      <c r="J77" s="16">
        <v>212.5</v>
      </c>
      <c r="K77" s="39">
        <v>109.5</v>
      </c>
      <c r="L77" s="22">
        <v>13.0</v>
      </c>
      <c r="M77" s="22">
        <v>121.0</v>
      </c>
      <c r="N77" s="43">
        <f>+108</f>
        <v>108</v>
      </c>
      <c r="O77" s="16">
        <v>6.4</v>
      </c>
      <c r="P77" s="22">
        <v>3500.0</v>
      </c>
      <c r="Q77" s="22">
        <v>546.0</v>
      </c>
      <c r="R77" s="22"/>
      <c r="S77" s="22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30" t="str">
        <f t="shared" si="1"/>
        <v>Sam Merrill</v>
      </c>
      <c r="B78" s="23" t="s">
        <v>364</v>
      </c>
      <c r="C78" s="39">
        <v>6.0</v>
      </c>
      <c r="D78" s="32"/>
      <c r="E78" s="23" t="s">
        <v>364</v>
      </c>
      <c r="F78" s="16">
        <v>1.0</v>
      </c>
      <c r="G78" s="33" t="s">
        <v>253</v>
      </c>
      <c r="H78" s="16" t="s">
        <v>286</v>
      </c>
      <c r="I78" s="16" t="s">
        <v>255</v>
      </c>
      <c r="J78" s="16">
        <v>231.0</v>
      </c>
      <c r="K78" s="34">
        <v>118.5</v>
      </c>
      <c r="L78" s="22">
        <v>18.0</v>
      </c>
      <c r="M78" s="22">
        <v>91.0</v>
      </c>
      <c r="N78" s="44">
        <f>+73</f>
        <v>73</v>
      </c>
      <c r="O78" s="39">
        <v>6.0</v>
      </c>
      <c r="P78" s="22">
        <v>3500.0</v>
      </c>
      <c r="Q78" s="22">
        <v>585.0</v>
      </c>
      <c r="R78" s="22"/>
      <c r="S78" s="22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30" t="str">
        <f t="shared" si="1"/>
        <v>Tremont Waters</v>
      </c>
      <c r="B79" s="23" t="s">
        <v>365</v>
      </c>
      <c r="C79" s="39">
        <v>0.0</v>
      </c>
      <c r="D79" s="32"/>
      <c r="E79" s="23" t="s">
        <v>365</v>
      </c>
      <c r="F79" s="16">
        <v>9.0</v>
      </c>
      <c r="G79" s="33" t="s">
        <v>265</v>
      </c>
      <c r="H79" s="16" t="s">
        <v>291</v>
      </c>
      <c r="I79" s="16" t="s">
        <v>267</v>
      </c>
      <c r="J79" s="16">
        <v>212.5</v>
      </c>
      <c r="K79" s="39">
        <v>109.5</v>
      </c>
      <c r="L79" s="45">
        <v>19.0</v>
      </c>
      <c r="M79" s="22">
        <v>100.0</v>
      </c>
      <c r="N79" s="44">
        <f>+81</f>
        <v>81</v>
      </c>
      <c r="O79" s="39">
        <v>0.0</v>
      </c>
      <c r="P79" s="22">
        <v>3500.0</v>
      </c>
      <c r="Q79" s="22">
        <v>0.0</v>
      </c>
      <c r="R79" s="22"/>
      <c r="S79" s="22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30" t="str">
        <f t="shared" si="1"/>
        <v>Eric Paschall</v>
      </c>
      <c r="B80" s="23" t="s">
        <v>366</v>
      </c>
      <c r="C80" s="39">
        <v>0.0</v>
      </c>
      <c r="D80" s="32"/>
      <c r="E80" s="23" t="s">
        <v>366</v>
      </c>
      <c r="F80" s="16">
        <v>13.0</v>
      </c>
      <c r="G80" s="33" t="s">
        <v>257</v>
      </c>
      <c r="H80" s="16" t="s">
        <v>291</v>
      </c>
      <c r="I80" s="16" t="s">
        <v>259</v>
      </c>
      <c r="J80" s="16">
        <v>224.5</v>
      </c>
      <c r="K80" s="16">
        <v>115.5</v>
      </c>
      <c r="L80" s="22">
        <v>18.0</v>
      </c>
      <c r="M80" s="22">
        <v>97.0</v>
      </c>
      <c r="N80" s="44">
        <f>+79</f>
        <v>79</v>
      </c>
      <c r="O80" s="39">
        <v>0.0</v>
      </c>
      <c r="P80" s="22">
        <v>3500.0</v>
      </c>
      <c r="Q80" s="22">
        <v>0.0</v>
      </c>
      <c r="R80" s="22"/>
      <c r="S80" s="22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30" t="str">
        <f t="shared" si="1"/>
        <v>Bruno Fernando</v>
      </c>
      <c r="B81" s="23" t="s">
        <v>367</v>
      </c>
      <c r="C81" s="39">
        <v>0.0</v>
      </c>
      <c r="D81" s="32"/>
      <c r="E81" s="23" t="s">
        <v>367</v>
      </c>
      <c r="F81" s="16">
        <v>8.0</v>
      </c>
      <c r="G81" s="33" t="s">
        <v>269</v>
      </c>
      <c r="H81" s="16" t="s">
        <v>305</v>
      </c>
      <c r="I81" s="16" t="s">
        <v>255</v>
      </c>
      <c r="J81" s="16">
        <v>231.0</v>
      </c>
      <c r="K81" s="16">
        <v>113.0</v>
      </c>
      <c r="L81" s="46">
        <v>33.0</v>
      </c>
      <c r="M81" s="22">
        <v>96.0</v>
      </c>
      <c r="N81" s="44">
        <f>+63</f>
        <v>63</v>
      </c>
      <c r="O81" s="39">
        <v>0.0</v>
      </c>
      <c r="P81" s="22">
        <v>3500.0</v>
      </c>
      <c r="Q81" s="22">
        <v>0.0</v>
      </c>
      <c r="R81" s="22"/>
      <c r="S81" s="22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30" t="str">
        <f t="shared" si="1"/>
        <v>Carsen Edwards</v>
      </c>
      <c r="B82" s="23" t="s">
        <v>368</v>
      </c>
      <c r="C82" s="39">
        <v>0.0</v>
      </c>
      <c r="D82" s="32"/>
      <c r="E82" s="23" t="s">
        <v>368</v>
      </c>
      <c r="F82" s="16">
        <v>4.0</v>
      </c>
      <c r="G82" s="33" t="s">
        <v>265</v>
      </c>
      <c r="H82" s="16" t="s">
        <v>291</v>
      </c>
      <c r="I82" s="16" t="s">
        <v>267</v>
      </c>
      <c r="J82" s="16">
        <v>212.5</v>
      </c>
      <c r="K82" s="39">
        <v>109.5</v>
      </c>
      <c r="L82" s="45">
        <v>23.0</v>
      </c>
      <c r="M82" s="22">
        <v>95.0</v>
      </c>
      <c r="N82" s="44">
        <f>+72</f>
        <v>72</v>
      </c>
      <c r="O82" s="39">
        <v>0.0</v>
      </c>
      <c r="P82" s="22">
        <v>3500.0</v>
      </c>
      <c r="Q82" s="22">
        <v>0.0</v>
      </c>
      <c r="R82" s="22"/>
      <c r="S82" s="22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30" t="str">
        <f t="shared" si="1"/>
        <v>Justin James</v>
      </c>
      <c r="B83" s="23" t="s">
        <v>369</v>
      </c>
      <c r="C83" s="39">
        <v>0.0</v>
      </c>
      <c r="D83" s="32"/>
      <c r="E83" s="23" t="s">
        <v>369</v>
      </c>
      <c r="F83" s="16">
        <v>13.0</v>
      </c>
      <c r="G83" s="33" t="s">
        <v>261</v>
      </c>
      <c r="H83" s="16" t="s">
        <v>311</v>
      </c>
      <c r="I83" s="16" t="s">
        <v>263</v>
      </c>
      <c r="J83" s="16">
        <v>234.5</v>
      </c>
      <c r="K83" s="16">
        <v>111.0</v>
      </c>
      <c r="L83" s="22">
        <v>17.0</v>
      </c>
      <c r="M83" s="22">
        <v>94.0</v>
      </c>
      <c r="N83" s="44">
        <f>+77</f>
        <v>77</v>
      </c>
      <c r="O83" s="39">
        <v>0.0</v>
      </c>
      <c r="P83" s="22">
        <v>3500.0</v>
      </c>
      <c r="Q83" s="22">
        <v>0.0</v>
      </c>
      <c r="R83" s="22"/>
      <c r="S83" s="22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30" t="str">
        <f t="shared" si="1"/>
        <v>DeAndre Hunter</v>
      </c>
      <c r="B84" s="23" t="s">
        <v>370</v>
      </c>
      <c r="C84" s="39">
        <v>0.0</v>
      </c>
      <c r="D84" s="32"/>
      <c r="E84" s="23" t="s">
        <v>370</v>
      </c>
      <c r="F84" s="16">
        <v>22.0</v>
      </c>
      <c r="G84" s="33" t="s">
        <v>269</v>
      </c>
      <c r="H84" s="16" t="s">
        <v>277</v>
      </c>
      <c r="I84" s="16" t="s">
        <v>255</v>
      </c>
      <c r="J84" s="16">
        <v>231.0</v>
      </c>
      <c r="K84" s="16">
        <v>113.0</v>
      </c>
      <c r="L84" s="22">
        <v>18.0</v>
      </c>
      <c r="M84" s="22">
        <v>49.0</v>
      </c>
      <c r="N84" s="40">
        <f>+31</f>
        <v>31</v>
      </c>
      <c r="O84" s="39">
        <v>0.0</v>
      </c>
      <c r="P84" s="22">
        <v>4900.0</v>
      </c>
      <c r="Q84" s="22">
        <v>0.0</v>
      </c>
      <c r="R84" s="22"/>
      <c r="S84" s="22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30" t="str">
        <f t="shared" si="1"/>
        <v>Cam Reddish</v>
      </c>
      <c r="B85" s="23" t="s">
        <v>371</v>
      </c>
      <c r="C85" s="39">
        <v>0.0</v>
      </c>
      <c r="D85" s="32"/>
      <c r="E85" s="23" t="s">
        <v>371</v>
      </c>
      <c r="F85" s="16">
        <v>53.0</v>
      </c>
      <c r="G85" s="33" t="s">
        <v>269</v>
      </c>
      <c r="H85" s="16" t="s">
        <v>318</v>
      </c>
      <c r="I85" s="16" t="s">
        <v>255</v>
      </c>
      <c r="J85" s="16">
        <v>231.0</v>
      </c>
      <c r="K85" s="16">
        <v>113.0</v>
      </c>
      <c r="L85" s="46">
        <v>30.0</v>
      </c>
      <c r="M85" s="22">
        <v>51.0</v>
      </c>
      <c r="N85" s="40">
        <f>+21</f>
        <v>21</v>
      </c>
      <c r="O85" s="39">
        <v>0.0</v>
      </c>
      <c r="P85" s="22">
        <v>4900.0</v>
      </c>
      <c r="Q85" s="22">
        <v>0.0</v>
      </c>
      <c r="R85" s="22"/>
      <c r="S85" s="22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30" t="str">
        <f t="shared" si="1"/>
        <v>Dylan Windler</v>
      </c>
      <c r="B86" s="23" t="s">
        <v>372</v>
      </c>
      <c r="C86" s="39">
        <v>0.0</v>
      </c>
      <c r="D86" s="32"/>
      <c r="E86" s="23" t="s">
        <v>372</v>
      </c>
      <c r="F86" s="16">
        <v>20.0</v>
      </c>
      <c r="G86" s="33" t="s">
        <v>283</v>
      </c>
      <c r="H86" s="16" t="s">
        <v>286</v>
      </c>
      <c r="I86" s="16" t="s">
        <v>259</v>
      </c>
      <c r="J86" s="16">
        <v>224.5</v>
      </c>
      <c r="K86" s="39">
        <v>109.0</v>
      </c>
      <c r="L86" s="46">
        <v>29.0</v>
      </c>
      <c r="M86" s="22">
        <v>93.0</v>
      </c>
      <c r="N86" s="44">
        <f>+64</f>
        <v>64</v>
      </c>
      <c r="O86" s="39">
        <v>0.0</v>
      </c>
      <c r="P86" s="22">
        <v>3500.0</v>
      </c>
      <c r="Q86" s="22">
        <v>0.0</v>
      </c>
      <c r="R86" s="22"/>
      <c r="S86" s="22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30" t="str">
        <f t="shared" si="1"/>
        <v>Mfiondu Kabengele</v>
      </c>
      <c r="B87" s="23" t="s">
        <v>373</v>
      </c>
      <c r="C87" s="39">
        <v>0.0</v>
      </c>
      <c r="D87" s="32"/>
      <c r="E87" s="23" t="s">
        <v>373</v>
      </c>
      <c r="F87" s="16">
        <v>4.0</v>
      </c>
      <c r="G87" s="33" t="s">
        <v>283</v>
      </c>
      <c r="H87" s="16" t="s">
        <v>300</v>
      </c>
      <c r="I87" s="16" t="s">
        <v>259</v>
      </c>
      <c r="J87" s="16">
        <v>224.5</v>
      </c>
      <c r="K87" s="39">
        <v>109.0</v>
      </c>
      <c r="L87" s="45">
        <v>24.0</v>
      </c>
      <c r="M87" s="22">
        <v>92.0</v>
      </c>
      <c r="N87" s="44">
        <f>+68</f>
        <v>68</v>
      </c>
      <c r="O87" s="39">
        <v>0.0</v>
      </c>
      <c r="P87" s="22">
        <v>3500.0</v>
      </c>
      <c r="Q87" s="22">
        <v>0.0</v>
      </c>
      <c r="R87" s="22"/>
      <c r="S87" s="22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30" t="str">
        <f t="shared" si="1"/>
        <v>Kyle Guy</v>
      </c>
      <c r="B88" s="23" t="s">
        <v>374</v>
      </c>
      <c r="C88" s="39">
        <v>0.0</v>
      </c>
      <c r="D88" s="32"/>
      <c r="E88" s="23" t="s">
        <v>374</v>
      </c>
      <c r="F88" s="16">
        <v>3.0</v>
      </c>
      <c r="G88" s="33" t="s">
        <v>261</v>
      </c>
      <c r="H88" s="16" t="s">
        <v>311</v>
      </c>
      <c r="I88" s="16" t="s">
        <v>263</v>
      </c>
      <c r="J88" s="16">
        <v>234.5</v>
      </c>
      <c r="K88" s="16">
        <v>111.0</v>
      </c>
      <c r="L88" s="46">
        <v>28.0</v>
      </c>
      <c r="M88" s="22">
        <v>89.0</v>
      </c>
      <c r="N88" s="44">
        <f>+61</f>
        <v>61</v>
      </c>
      <c r="O88" s="39">
        <v>0.0</v>
      </c>
      <c r="P88" s="22">
        <v>3500.0</v>
      </c>
      <c r="Q88" s="22">
        <v>0.0</v>
      </c>
      <c r="R88" s="22"/>
      <c r="S88" s="22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30" t="str">
        <f t="shared" si="1"/>
        <v>Alen Smailagic</v>
      </c>
      <c r="B89" s="23" t="s">
        <v>375</v>
      </c>
      <c r="C89" s="39">
        <v>0.0</v>
      </c>
      <c r="D89" s="32"/>
      <c r="E89" s="23" t="s">
        <v>375</v>
      </c>
      <c r="F89" s="16">
        <v>1.0</v>
      </c>
      <c r="G89" s="33" t="s">
        <v>257</v>
      </c>
      <c r="H89" s="16" t="s">
        <v>277</v>
      </c>
      <c r="I89" s="16" t="s">
        <v>259</v>
      </c>
      <c r="J89" s="16">
        <v>224.5</v>
      </c>
      <c r="K89" s="16">
        <v>115.5</v>
      </c>
      <c r="L89" s="22">
        <v>18.0</v>
      </c>
      <c r="M89" s="22">
        <v>88.0</v>
      </c>
      <c r="N89" s="44">
        <f>+70</f>
        <v>70</v>
      </c>
      <c r="O89" s="39">
        <v>0.0</v>
      </c>
      <c r="P89" s="22">
        <v>3500.0</v>
      </c>
      <c r="Q89" s="22">
        <v>0.0</v>
      </c>
      <c r="R89" s="22"/>
      <c r="S89" s="22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30" t="str">
        <f t="shared" si="1"/>
        <v>Thanasis Antetokounmpo</v>
      </c>
      <c r="B90" s="23" t="s">
        <v>376</v>
      </c>
      <c r="C90" s="39">
        <v>0.0</v>
      </c>
      <c r="D90" s="32"/>
      <c r="E90" s="23" t="s">
        <v>376</v>
      </c>
      <c r="F90" s="16">
        <v>1.0</v>
      </c>
      <c r="G90" s="33" t="s">
        <v>253</v>
      </c>
      <c r="H90" s="16" t="s">
        <v>281</v>
      </c>
      <c r="I90" s="16" t="s">
        <v>255</v>
      </c>
      <c r="J90" s="16">
        <v>231.0</v>
      </c>
      <c r="K90" s="34">
        <v>118.5</v>
      </c>
      <c r="L90" s="45">
        <v>23.0</v>
      </c>
      <c r="M90" s="22">
        <v>48.0</v>
      </c>
      <c r="N90" s="40">
        <f>+25</f>
        <v>25</v>
      </c>
      <c r="O90" s="39">
        <v>0.0</v>
      </c>
      <c r="P90" s="22">
        <v>5000.0</v>
      </c>
      <c r="Q90" s="22">
        <v>0.0</v>
      </c>
      <c r="R90" s="22"/>
      <c r="S90" s="22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30" t="str">
        <f t="shared" si="1"/>
        <v>Tacko Fall</v>
      </c>
      <c r="B91" s="23" t="s">
        <v>377</v>
      </c>
      <c r="C91" s="39">
        <v>0.0</v>
      </c>
      <c r="D91" s="32"/>
      <c r="E91" s="23" t="s">
        <v>377</v>
      </c>
      <c r="F91" s="16">
        <v>9.0</v>
      </c>
      <c r="G91" s="33" t="s">
        <v>265</v>
      </c>
      <c r="H91" s="16" t="s">
        <v>298</v>
      </c>
      <c r="I91" s="16" t="s">
        <v>267</v>
      </c>
      <c r="J91" s="16">
        <v>212.5</v>
      </c>
      <c r="K91" s="39">
        <v>109.5</v>
      </c>
      <c r="L91" s="22">
        <v>15.0</v>
      </c>
      <c r="M91" s="22">
        <v>80.0</v>
      </c>
      <c r="N91" s="44">
        <f>+65</f>
        <v>65</v>
      </c>
      <c r="O91" s="39">
        <v>0.0</v>
      </c>
      <c r="P91" s="22">
        <v>3500.0</v>
      </c>
      <c r="Q91" s="22">
        <v>0.0</v>
      </c>
      <c r="R91" s="22"/>
      <c r="S91" s="22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30" t="str">
        <f t="shared" si="1"/>
        <v>Mychal Mulder</v>
      </c>
      <c r="B92" s="23" t="s">
        <v>378</v>
      </c>
      <c r="C92" s="39">
        <v>0.0</v>
      </c>
      <c r="D92" s="32"/>
      <c r="E92" s="23" t="s">
        <v>378</v>
      </c>
      <c r="F92" s="16">
        <v>1.0</v>
      </c>
      <c r="G92" s="33" t="s">
        <v>257</v>
      </c>
      <c r="H92" s="16" t="s">
        <v>305</v>
      </c>
      <c r="I92" s="16" t="s">
        <v>259</v>
      </c>
      <c r="J92" s="16">
        <v>224.5</v>
      </c>
      <c r="K92" s="16">
        <v>115.5</v>
      </c>
      <c r="L92" s="45">
        <v>22.0</v>
      </c>
      <c r="M92" s="22">
        <v>83.0</v>
      </c>
      <c r="N92" s="44">
        <f>+61</f>
        <v>61</v>
      </c>
      <c r="O92" s="39">
        <v>0.0</v>
      </c>
      <c r="P92" s="22">
        <v>3500.0</v>
      </c>
      <c r="Q92" s="22">
        <v>0.0</v>
      </c>
      <c r="R92" s="22"/>
      <c r="S92" s="22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30" t="str">
        <f t="shared" si="1"/>
        <v>Chris Silva</v>
      </c>
      <c r="B93" s="23" t="s">
        <v>379</v>
      </c>
      <c r="C93" s="39">
        <v>0.0</v>
      </c>
      <c r="D93" s="32"/>
      <c r="E93" s="23" t="s">
        <v>379</v>
      </c>
      <c r="F93" s="16">
        <v>15.0</v>
      </c>
      <c r="G93" s="33" t="s">
        <v>261</v>
      </c>
      <c r="H93" s="16" t="s">
        <v>281</v>
      </c>
      <c r="I93" s="16" t="s">
        <v>263</v>
      </c>
      <c r="J93" s="16">
        <v>234.5</v>
      </c>
      <c r="K93" s="16">
        <v>111.0</v>
      </c>
      <c r="L93" s="45">
        <v>27.0</v>
      </c>
      <c r="M93" s="22">
        <v>81.0</v>
      </c>
      <c r="N93" s="42">
        <f>+54</f>
        <v>54</v>
      </c>
      <c r="O93" s="39">
        <v>0.0</v>
      </c>
      <c r="P93" s="22">
        <v>3500.0</v>
      </c>
      <c r="Q93" s="22">
        <v>0.0</v>
      </c>
      <c r="R93" s="22"/>
      <c r="S93" s="22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30" t="str">
        <f t="shared" si="1"/>
        <v>Devontae Cacok</v>
      </c>
      <c r="B94" s="23" t="s">
        <v>380</v>
      </c>
      <c r="C94" s="39">
        <v>0.0</v>
      </c>
      <c r="D94" s="32"/>
      <c r="E94" s="23" t="s">
        <v>380</v>
      </c>
      <c r="F94" s="16">
        <v>3.0</v>
      </c>
      <c r="G94" s="33" t="s">
        <v>294</v>
      </c>
      <c r="H94" s="16" t="s">
        <v>308</v>
      </c>
      <c r="I94" s="16" t="s">
        <v>267</v>
      </c>
      <c r="J94" s="16">
        <v>212.5</v>
      </c>
      <c r="K94" s="41">
        <v>103.5</v>
      </c>
      <c r="L94" s="46">
        <v>34.0</v>
      </c>
      <c r="M94" s="22">
        <v>84.0</v>
      </c>
      <c r="N94" s="42">
        <f>+50</f>
        <v>50</v>
      </c>
      <c r="O94" s="39">
        <v>0.0</v>
      </c>
      <c r="P94" s="22">
        <v>3500.0</v>
      </c>
      <c r="Q94" s="22">
        <v>0.0</v>
      </c>
      <c r="R94" s="22"/>
      <c r="S94" s="22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30" t="str">
        <f t="shared" si="1"/>
        <v>Klay Thompson</v>
      </c>
      <c r="B95" s="23" t="s">
        <v>381</v>
      </c>
      <c r="C95" s="39">
        <v>0.0</v>
      </c>
      <c r="D95" s="32"/>
      <c r="E95" s="23" t="s">
        <v>381</v>
      </c>
      <c r="F95" s="16" t="s">
        <v>382</v>
      </c>
      <c r="G95" s="33" t="s">
        <v>257</v>
      </c>
      <c r="H95" s="16" t="s">
        <v>277</v>
      </c>
      <c r="I95" s="16" t="s">
        <v>259</v>
      </c>
      <c r="J95" s="16">
        <v>224.5</v>
      </c>
      <c r="K95" s="16">
        <v>115.5</v>
      </c>
      <c r="L95" s="45">
        <v>26.0</v>
      </c>
      <c r="M95" s="22">
        <v>85.0</v>
      </c>
      <c r="N95" s="42">
        <f>+59</f>
        <v>59</v>
      </c>
      <c r="O95" s="39">
        <v>0.0</v>
      </c>
      <c r="P95" s="22">
        <v>3500.0</v>
      </c>
      <c r="Q95" s="22">
        <v>0.0</v>
      </c>
      <c r="R95" s="22"/>
      <c r="S95" s="22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30" t="str">
        <f t="shared" si="1"/>
        <v>Skylar Mays</v>
      </c>
      <c r="B96" s="23" t="s">
        <v>383</v>
      </c>
      <c r="C96" s="39">
        <v>0.0</v>
      </c>
      <c r="D96" s="32"/>
      <c r="E96" s="23" t="s">
        <v>383</v>
      </c>
      <c r="F96" s="16">
        <v>2.0</v>
      </c>
      <c r="G96" s="33" t="s">
        <v>269</v>
      </c>
      <c r="H96" s="16" t="s">
        <v>318</v>
      </c>
      <c r="I96" s="16" t="s">
        <v>255</v>
      </c>
      <c r="J96" s="16">
        <v>231.0</v>
      </c>
      <c r="K96" s="16">
        <v>113.0</v>
      </c>
      <c r="L96" s="45">
        <v>24.0</v>
      </c>
      <c r="M96" s="22">
        <v>101.0</v>
      </c>
      <c r="N96" s="44">
        <f>+77</f>
        <v>77</v>
      </c>
      <c r="O96" s="39">
        <v>0.0</v>
      </c>
      <c r="P96" s="22">
        <v>3500.0</v>
      </c>
      <c r="Q96" s="22">
        <v>0.0</v>
      </c>
      <c r="R96" s="22"/>
      <c r="S96" s="22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30" t="str">
        <f t="shared" si="1"/>
        <v>Jordan Nwora</v>
      </c>
      <c r="B97" s="23" t="s">
        <v>384</v>
      </c>
      <c r="C97" s="39">
        <v>0.0</v>
      </c>
      <c r="D97" s="32"/>
      <c r="E97" s="23" t="s">
        <v>384</v>
      </c>
      <c r="F97" s="16">
        <v>1.0</v>
      </c>
      <c r="G97" s="33" t="s">
        <v>253</v>
      </c>
      <c r="H97" s="16" t="s">
        <v>254</v>
      </c>
      <c r="I97" s="16" t="s">
        <v>255</v>
      </c>
      <c r="J97" s="16">
        <v>231.0</v>
      </c>
      <c r="K97" s="34">
        <v>118.5</v>
      </c>
      <c r="L97" s="45">
        <v>25.0</v>
      </c>
      <c r="M97" s="22">
        <v>58.0</v>
      </c>
      <c r="N97" s="42">
        <f>+33</f>
        <v>33</v>
      </c>
      <c r="O97" s="39">
        <v>0.0</v>
      </c>
      <c r="P97" s="22">
        <v>4400.0</v>
      </c>
      <c r="Q97" s="22">
        <v>0.0</v>
      </c>
      <c r="R97" s="22"/>
      <c r="S97" s="22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30" t="str">
        <f t="shared" si="1"/>
        <v>Jalen Smith</v>
      </c>
      <c r="B98" s="23" t="s">
        <v>385</v>
      </c>
      <c r="C98" s="39">
        <v>0.0</v>
      </c>
      <c r="D98" s="32"/>
      <c r="E98" s="23" t="s">
        <v>385</v>
      </c>
      <c r="F98" s="16">
        <v>2.0</v>
      </c>
      <c r="G98" s="33" t="s">
        <v>274</v>
      </c>
      <c r="H98" s="16" t="s">
        <v>300</v>
      </c>
      <c r="I98" s="16" t="s">
        <v>263</v>
      </c>
      <c r="J98" s="16">
        <v>234.5</v>
      </c>
      <c r="K98" s="31">
        <v>124.0</v>
      </c>
      <c r="L98" s="46">
        <v>28.0</v>
      </c>
      <c r="M98" s="22">
        <v>103.0</v>
      </c>
      <c r="N98" s="44">
        <f>+75</f>
        <v>75</v>
      </c>
      <c r="O98" s="39">
        <v>0.0</v>
      </c>
      <c r="P98" s="22">
        <v>3500.0</v>
      </c>
      <c r="Q98" s="22">
        <v>0.0</v>
      </c>
      <c r="R98" s="22"/>
      <c r="S98" s="22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30" t="str">
        <f t="shared" si="1"/>
        <v>Aaron Nesmith</v>
      </c>
      <c r="B99" s="23" t="s">
        <v>386</v>
      </c>
      <c r="C99" s="39">
        <v>0.0</v>
      </c>
      <c r="D99" s="32"/>
      <c r="E99" s="23" t="s">
        <v>386</v>
      </c>
      <c r="F99" s="16">
        <v>4.0</v>
      </c>
      <c r="G99" s="33" t="s">
        <v>265</v>
      </c>
      <c r="H99" s="16" t="s">
        <v>302</v>
      </c>
      <c r="I99" s="16" t="s">
        <v>267</v>
      </c>
      <c r="J99" s="16">
        <v>212.5</v>
      </c>
      <c r="K99" s="39">
        <v>109.5</v>
      </c>
      <c r="L99" s="45">
        <v>23.0</v>
      </c>
      <c r="M99" s="22">
        <v>118.0</v>
      </c>
      <c r="N99" s="43">
        <f>+95</f>
        <v>95</v>
      </c>
      <c r="O99" s="39">
        <v>0.0</v>
      </c>
      <c r="P99" s="22">
        <v>3500.0</v>
      </c>
      <c r="Q99" s="22">
        <v>0.0</v>
      </c>
      <c r="R99" s="22"/>
      <c r="S99" s="22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30" t="str">
        <f t="shared" si="1"/>
        <v>Jahmius Ramsey</v>
      </c>
      <c r="B100" s="23" t="s">
        <v>387</v>
      </c>
      <c r="C100" s="39">
        <v>0.0</v>
      </c>
      <c r="D100" s="32"/>
      <c r="E100" s="23" t="s">
        <v>387</v>
      </c>
      <c r="F100" s="16">
        <v>33.0</v>
      </c>
      <c r="G100" s="33" t="s">
        <v>261</v>
      </c>
      <c r="H100" s="16" t="s">
        <v>262</v>
      </c>
      <c r="I100" s="16" t="s">
        <v>263</v>
      </c>
      <c r="J100" s="16">
        <v>234.5</v>
      </c>
      <c r="K100" s="16">
        <v>111.0</v>
      </c>
      <c r="L100" s="45">
        <v>22.0</v>
      </c>
      <c r="M100" s="22">
        <v>126.0</v>
      </c>
      <c r="N100" s="43">
        <f>+104</f>
        <v>104</v>
      </c>
      <c r="O100" s="39">
        <v>0.0</v>
      </c>
      <c r="P100" s="22">
        <v>3500.0</v>
      </c>
      <c r="Q100" s="22">
        <v>0.0</v>
      </c>
      <c r="R100" s="22"/>
      <c r="S100" s="22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30" t="str">
        <f t="shared" si="1"/>
        <v>James Wiseman</v>
      </c>
      <c r="B101" s="23" t="s">
        <v>388</v>
      </c>
      <c r="C101" s="39">
        <v>0.0</v>
      </c>
      <c r="D101" s="32"/>
      <c r="E101" s="23" t="s">
        <v>388</v>
      </c>
      <c r="F101" s="16">
        <v>5.0</v>
      </c>
      <c r="G101" s="33" t="s">
        <v>257</v>
      </c>
      <c r="H101" s="16" t="s">
        <v>291</v>
      </c>
      <c r="I101" s="16" t="s">
        <v>259</v>
      </c>
      <c r="J101" s="16">
        <v>224.5</v>
      </c>
      <c r="K101" s="16">
        <v>115.5</v>
      </c>
      <c r="L101" s="22">
        <v>17.0</v>
      </c>
      <c r="M101" s="22">
        <v>60.0</v>
      </c>
      <c r="N101" s="42">
        <f>+43</f>
        <v>43</v>
      </c>
      <c r="O101" s="39">
        <v>0.0</v>
      </c>
      <c r="P101" s="22">
        <v>4200.0</v>
      </c>
      <c r="Q101" s="22">
        <v>0.0</v>
      </c>
      <c r="R101" s="22"/>
      <c r="S101" s="22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30" t="str">
        <f t="shared" si="1"/>
        <v>Robert Woodard</v>
      </c>
      <c r="B102" s="23" t="s">
        <v>389</v>
      </c>
      <c r="C102" s="39">
        <v>0.0</v>
      </c>
      <c r="D102" s="32"/>
      <c r="E102" s="23" t="s">
        <v>389</v>
      </c>
      <c r="F102" s="16">
        <v>13.0</v>
      </c>
      <c r="G102" s="33" t="s">
        <v>261</v>
      </c>
      <c r="H102" s="16" t="s">
        <v>281</v>
      </c>
      <c r="I102" s="16" t="s">
        <v>263</v>
      </c>
      <c r="J102" s="16">
        <v>234.5</v>
      </c>
      <c r="K102" s="16">
        <v>111.0</v>
      </c>
      <c r="L102" s="46">
        <v>30.0</v>
      </c>
      <c r="M102" s="22">
        <v>124.0</v>
      </c>
      <c r="N102" s="43">
        <f>+94</f>
        <v>94</v>
      </c>
      <c r="O102" s="39">
        <v>0.0</v>
      </c>
      <c r="P102" s="22">
        <v>3500.0</v>
      </c>
      <c r="Q102" s="22">
        <v>0.0</v>
      </c>
      <c r="R102" s="22"/>
      <c r="S102" s="22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30" t="str">
        <f t="shared" si="1"/>
        <v>Lamar Stevens</v>
      </c>
      <c r="B103" s="23" t="s">
        <v>390</v>
      </c>
      <c r="C103" s="39">
        <v>0.0</v>
      </c>
      <c r="D103" s="32"/>
      <c r="E103" s="23" t="s">
        <v>390</v>
      </c>
      <c r="F103" s="16">
        <v>4.0</v>
      </c>
      <c r="G103" s="33" t="s">
        <v>283</v>
      </c>
      <c r="H103" s="16" t="s">
        <v>289</v>
      </c>
      <c r="I103" s="16" t="s">
        <v>259</v>
      </c>
      <c r="J103" s="16">
        <v>224.5</v>
      </c>
      <c r="K103" s="39">
        <v>109.0</v>
      </c>
      <c r="L103" s="46">
        <v>31.0</v>
      </c>
      <c r="M103" s="22">
        <v>123.0</v>
      </c>
      <c r="N103" s="43">
        <f>+92</f>
        <v>92</v>
      </c>
      <c r="O103" s="39">
        <v>0.0</v>
      </c>
      <c r="P103" s="22">
        <v>3500.0</v>
      </c>
      <c r="Q103" s="22">
        <v>0.0</v>
      </c>
      <c r="R103" s="22"/>
      <c r="S103" s="22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30" t="str">
        <f t="shared" si="1"/>
        <v>ETwaun Moore</v>
      </c>
      <c r="B104" s="23" t="s">
        <v>391</v>
      </c>
      <c r="C104" s="39">
        <v>0.0</v>
      </c>
      <c r="D104" s="32"/>
      <c r="E104" s="23" t="s">
        <v>391</v>
      </c>
      <c r="F104" s="16">
        <v>33.0</v>
      </c>
      <c r="G104" s="33" t="s">
        <v>274</v>
      </c>
      <c r="H104" s="16" t="s">
        <v>286</v>
      </c>
      <c r="I104" s="16" t="s">
        <v>263</v>
      </c>
      <c r="J104" s="16">
        <v>234.5</v>
      </c>
      <c r="K104" s="31">
        <v>124.0</v>
      </c>
      <c r="L104" s="45">
        <v>21.0</v>
      </c>
      <c r="M104" s="22">
        <v>120.0</v>
      </c>
      <c r="N104" s="43">
        <f>+99</f>
        <v>99</v>
      </c>
      <c r="O104" s="39">
        <v>0.0</v>
      </c>
      <c r="P104" s="22">
        <v>3500.0</v>
      </c>
      <c r="Q104" s="22">
        <v>0.0</v>
      </c>
      <c r="R104" s="22"/>
      <c r="S104" s="22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30" t="str">
        <f t="shared" si="1"/>
        <v>Mamadi Diakite</v>
      </c>
      <c r="B105" s="23" t="s">
        <v>392</v>
      </c>
      <c r="C105" s="39">
        <v>0.0</v>
      </c>
      <c r="D105" s="32"/>
      <c r="E105" s="23" t="s">
        <v>392</v>
      </c>
      <c r="F105" s="16">
        <v>1.0</v>
      </c>
      <c r="G105" s="33" t="s">
        <v>253</v>
      </c>
      <c r="H105" s="16" t="s">
        <v>254</v>
      </c>
      <c r="I105" s="16" t="s">
        <v>255</v>
      </c>
      <c r="J105" s="16">
        <v>231.0</v>
      </c>
      <c r="K105" s="34">
        <v>118.5</v>
      </c>
      <c r="L105" s="46">
        <v>32.0</v>
      </c>
      <c r="M105" s="22">
        <v>104.0</v>
      </c>
      <c r="N105" s="44">
        <f>+72</f>
        <v>72</v>
      </c>
      <c r="O105" s="39">
        <v>0.0</v>
      </c>
      <c r="P105" s="22">
        <v>3500.0</v>
      </c>
      <c r="Q105" s="22">
        <v>0.0</v>
      </c>
      <c r="R105" s="22"/>
      <c r="S105" s="22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30" t="str">
        <f t="shared" si="1"/>
        <v>Ty-Shon Alexander</v>
      </c>
      <c r="B106" s="23" t="s">
        <v>393</v>
      </c>
      <c r="C106" s="39">
        <v>0.0</v>
      </c>
      <c r="D106" s="32"/>
      <c r="E106" s="23" t="s">
        <v>393</v>
      </c>
      <c r="F106" s="16">
        <v>2.0</v>
      </c>
      <c r="G106" s="33" t="s">
        <v>274</v>
      </c>
      <c r="H106" s="16" t="s">
        <v>275</v>
      </c>
      <c r="I106" s="16" t="s">
        <v>263</v>
      </c>
      <c r="J106" s="16">
        <v>234.5</v>
      </c>
      <c r="K106" s="31">
        <v>124.0</v>
      </c>
      <c r="L106" s="45">
        <v>22.0</v>
      </c>
      <c r="M106" s="22">
        <v>116.0</v>
      </c>
      <c r="N106" s="43">
        <f>+94</f>
        <v>94</v>
      </c>
      <c r="O106" s="39">
        <v>0.0</v>
      </c>
      <c r="P106" s="22">
        <v>3500.0</v>
      </c>
      <c r="Q106" s="22">
        <v>0.0</v>
      </c>
      <c r="R106" s="22"/>
      <c r="S106" s="22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30" t="str">
        <f t="shared" si="1"/>
        <v>Brodric Thomas</v>
      </c>
      <c r="B107" s="23" t="s">
        <v>394</v>
      </c>
      <c r="C107" s="39">
        <v>0.0</v>
      </c>
      <c r="D107" s="32"/>
      <c r="E107" s="23" t="s">
        <v>394</v>
      </c>
      <c r="F107" s="16">
        <v>4.0</v>
      </c>
      <c r="G107" s="33" t="s">
        <v>283</v>
      </c>
      <c r="H107" s="16" t="s">
        <v>286</v>
      </c>
      <c r="I107" s="16" t="s">
        <v>259</v>
      </c>
      <c r="J107" s="16">
        <v>224.5</v>
      </c>
      <c r="K107" s="39">
        <v>109.0</v>
      </c>
      <c r="L107" s="45">
        <v>20.0</v>
      </c>
      <c r="M107" s="22">
        <v>115.0</v>
      </c>
      <c r="N107" s="43">
        <f t="shared" ref="N107:N108" si="2">+95</f>
        <v>95</v>
      </c>
      <c r="O107" s="39">
        <v>0.0</v>
      </c>
      <c r="P107" s="22">
        <v>3500.0</v>
      </c>
      <c r="Q107" s="22">
        <v>0.0</v>
      </c>
      <c r="R107" s="22"/>
      <c r="S107" s="22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30" t="str">
        <f t="shared" si="1"/>
        <v>Axel Toupane</v>
      </c>
      <c r="B108" s="23" t="s">
        <v>395</v>
      </c>
      <c r="C108" s="39">
        <v>0.0</v>
      </c>
      <c r="D108" s="32"/>
      <c r="E108" s="23" t="s">
        <v>395</v>
      </c>
      <c r="F108" s="16">
        <v>6.0</v>
      </c>
      <c r="G108" s="33" t="s">
        <v>253</v>
      </c>
      <c r="H108" s="16" t="s">
        <v>337</v>
      </c>
      <c r="I108" s="16" t="s">
        <v>255</v>
      </c>
      <c r="J108" s="16">
        <v>231.0</v>
      </c>
      <c r="K108" s="34">
        <v>118.5</v>
      </c>
      <c r="L108" s="45">
        <v>19.0</v>
      </c>
      <c r="M108" s="22">
        <v>114.0</v>
      </c>
      <c r="N108" s="43">
        <f t="shared" si="2"/>
        <v>95</v>
      </c>
      <c r="O108" s="39">
        <v>0.0</v>
      </c>
      <c r="P108" s="22">
        <v>3500.0</v>
      </c>
      <c r="Q108" s="22">
        <v>0.0</v>
      </c>
      <c r="R108" s="22"/>
      <c r="S108" s="22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30" t="str">
        <f t="shared" si="1"/>
        <v>Ben McLemore</v>
      </c>
      <c r="B109" s="23" t="s">
        <v>396</v>
      </c>
      <c r="C109" s="39">
        <v>0.0</v>
      </c>
      <c r="D109" s="32"/>
      <c r="E109" s="23" t="s">
        <v>396</v>
      </c>
      <c r="F109" s="16">
        <v>2.0</v>
      </c>
      <c r="G109" s="33" t="s">
        <v>294</v>
      </c>
      <c r="H109" s="16" t="s">
        <v>324</v>
      </c>
      <c r="I109" s="16" t="s">
        <v>267</v>
      </c>
      <c r="J109" s="16">
        <v>212.5</v>
      </c>
      <c r="K109" s="41">
        <v>103.5</v>
      </c>
      <c r="L109" s="46">
        <v>31.0</v>
      </c>
      <c r="M109" s="22">
        <v>110.0</v>
      </c>
      <c r="N109" s="44">
        <f>+79</f>
        <v>79</v>
      </c>
      <c r="O109" s="39">
        <v>0.0</v>
      </c>
      <c r="P109" s="22">
        <v>3500.0</v>
      </c>
      <c r="Q109" s="22">
        <v>0.0</v>
      </c>
      <c r="R109" s="22"/>
      <c r="S109" s="22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30" t="str">
        <f t="shared" si="1"/>
        <v>Anthony Davis</v>
      </c>
      <c r="B110" s="23" t="s">
        <v>397</v>
      </c>
      <c r="C110" s="39">
        <v>0.0</v>
      </c>
      <c r="D110" s="32"/>
      <c r="E110" s="23" t="s">
        <v>397</v>
      </c>
      <c r="F110" s="16">
        <v>60.0</v>
      </c>
      <c r="G110" s="33" t="s">
        <v>294</v>
      </c>
      <c r="H110" s="16" t="s">
        <v>308</v>
      </c>
      <c r="I110" s="16" t="s">
        <v>267</v>
      </c>
      <c r="J110" s="16">
        <v>212.5</v>
      </c>
      <c r="K110" s="41">
        <v>103.5</v>
      </c>
      <c r="L110" s="22">
        <v>17.0</v>
      </c>
      <c r="M110" s="22">
        <v>8.0</v>
      </c>
      <c r="N110" s="36">
        <v>-9.0</v>
      </c>
      <c r="O110" s="39">
        <v>0.0</v>
      </c>
      <c r="P110" s="22">
        <v>8700.0</v>
      </c>
      <c r="Q110" s="22">
        <v>0.0</v>
      </c>
      <c r="R110" s="22"/>
      <c r="S110" s="22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30" t="str">
        <f t="shared" si="1"/>
        <v>Langston Galloway</v>
      </c>
      <c r="B111" s="23" t="s">
        <v>398</v>
      </c>
      <c r="C111" s="39">
        <v>0.0</v>
      </c>
      <c r="D111" s="32"/>
      <c r="E111" s="23" t="s">
        <v>398</v>
      </c>
      <c r="F111" s="16">
        <v>16.0</v>
      </c>
      <c r="G111" s="33" t="s">
        <v>274</v>
      </c>
      <c r="H111" s="16" t="s">
        <v>275</v>
      </c>
      <c r="I111" s="16" t="s">
        <v>263</v>
      </c>
      <c r="J111" s="16">
        <v>234.5</v>
      </c>
      <c r="K111" s="31">
        <v>124.0</v>
      </c>
      <c r="L111" s="22">
        <v>18.0</v>
      </c>
      <c r="M111" s="22">
        <v>108.0</v>
      </c>
      <c r="N111" s="44">
        <f>+90</f>
        <v>90</v>
      </c>
      <c r="O111" s="39">
        <v>0.0</v>
      </c>
      <c r="P111" s="22">
        <v>3500.0</v>
      </c>
      <c r="Q111" s="22">
        <v>0.0</v>
      </c>
      <c r="R111" s="22"/>
      <c r="S111" s="22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30" t="str">
        <f t="shared" si="1"/>
        <v>Tony Snell</v>
      </c>
      <c r="B112" s="23" t="s">
        <v>399</v>
      </c>
      <c r="C112" s="39">
        <v>0.0</v>
      </c>
      <c r="D112" s="32"/>
      <c r="E112" s="23" t="s">
        <v>399</v>
      </c>
      <c r="F112" s="16">
        <v>6.0</v>
      </c>
      <c r="G112" s="33" t="s">
        <v>269</v>
      </c>
      <c r="H112" s="16" t="s">
        <v>277</v>
      </c>
      <c r="I112" s="16" t="s">
        <v>255</v>
      </c>
      <c r="J112" s="16">
        <v>231.0</v>
      </c>
      <c r="K112" s="16">
        <v>113.0</v>
      </c>
      <c r="L112" s="45">
        <v>20.0</v>
      </c>
      <c r="M112" s="22">
        <v>106.0</v>
      </c>
      <c r="N112" s="44">
        <f>+86</f>
        <v>86</v>
      </c>
      <c r="O112" s="39">
        <v>0.0</v>
      </c>
      <c r="P112" s="22">
        <v>3500.0</v>
      </c>
      <c r="Q112" s="22">
        <v>0.0</v>
      </c>
      <c r="R112" s="22"/>
      <c r="S112" s="22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30" t="str">
        <f t="shared" si="1"/>
        <v>Alfonzo McKinnie</v>
      </c>
      <c r="B113" s="23" t="s">
        <v>400</v>
      </c>
      <c r="C113" s="39">
        <v>0.0</v>
      </c>
      <c r="D113" s="32"/>
      <c r="E113" s="23" t="s">
        <v>400</v>
      </c>
      <c r="F113" s="16">
        <v>2.0</v>
      </c>
      <c r="G113" s="33" t="s">
        <v>294</v>
      </c>
      <c r="H113" s="16" t="s">
        <v>308</v>
      </c>
      <c r="I113" s="16" t="s">
        <v>267</v>
      </c>
      <c r="J113" s="16">
        <v>212.5</v>
      </c>
      <c r="K113" s="41">
        <v>103.5</v>
      </c>
      <c r="L113" s="45">
        <v>19.0</v>
      </c>
      <c r="M113" s="22">
        <v>129.0</v>
      </c>
      <c r="N113" s="43">
        <f>+110</f>
        <v>110</v>
      </c>
      <c r="O113" s="39">
        <v>0.0</v>
      </c>
      <c r="P113" s="22">
        <v>3500.0</v>
      </c>
      <c r="Q113" s="22">
        <v>0.0</v>
      </c>
      <c r="R113" s="22"/>
      <c r="S113" s="22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30" t="str">
        <f t="shared" si="1"/>
        <v>Abdel Nader</v>
      </c>
      <c r="B114" s="23" t="s">
        <v>401</v>
      </c>
      <c r="C114" s="39">
        <v>0.0</v>
      </c>
      <c r="D114" s="32"/>
      <c r="E114" s="23" t="s">
        <v>401</v>
      </c>
      <c r="F114" s="16">
        <v>25.0</v>
      </c>
      <c r="G114" s="33" t="s">
        <v>274</v>
      </c>
      <c r="H114" s="16" t="s">
        <v>286</v>
      </c>
      <c r="I114" s="16" t="s">
        <v>263</v>
      </c>
      <c r="J114" s="16">
        <v>234.5</v>
      </c>
      <c r="K114" s="31">
        <v>124.0</v>
      </c>
      <c r="L114" s="22">
        <v>17.0</v>
      </c>
      <c r="M114" s="22">
        <v>131.0</v>
      </c>
      <c r="N114" s="43">
        <f>+114</f>
        <v>114</v>
      </c>
      <c r="O114" s="39">
        <v>0.0</v>
      </c>
      <c r="P114" s="22">
        <v>3500.0</v>
      </c>
      <c r="Q114" s="22">
        <v>0.0</v>
      </c>
      <c r="R114" s="22"/>
      <c r="S114" s="22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30" t="str">
        <f t="shared" si="1"/>
        <v>Evan Fournier</v>
      </c>
      <c r="B115" s="23" t="s">
        <v>402</v>
      </c>
      <c r="C115" s="39">
        <v>0.0</v>
      </c>
      <c r="D115" s="32"/>
      <c r="E115" s="23" t="s">
        <v>402</v>
      </c>
      <c r="F115" s="16">
        <v>11.0</v>
      </c>
      <c r="G115" s="33" t="s">
        <v>265</v>
      </c>
      <c r="H115" s="16" t="s">
        <v>302</v>
      </c>
      <c r="I115" s="16" t="s">
        <v>267</v>
      </c>
      <c r="J115" s="16">
        <v>212.5</v>
      </c>
      <c r="K115" s="39">
        <v>109.5</v>
      </c>
      <c r="L115" s="45">
        <v>21.0</v>
      </c>
      <c r="M115" s="22">
        <v>37.0</v>
      </c>
      <c r="N115" s="40">
        <f>+16</f>
        <v>16</v>
      </c>
      <c r="O115" s="39">
        <v>0.0</v>
      </c>
      <c r="P115" s="22">
        <v>5700.0</v>
      </c>
      <c r="Q115" s="22">
        <v>0.0</v>
      </c>
      <c r="R115" s="22"/>
      <c r="S115" s="22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30" t="str">
        <f t="shared" si="1"/>
        <v>Richaun Holmes</v>
      </c>
      <c r="B116" s="23" t="s">
        <v>403</v>
      </c>
      <c r="C116" s="39">
        <v>0.0</v>
      </c>
      <c r="D116" s="32"/>
      <c r="E116" s="23" t="s">
        <v>403</v>
      </c>
      <c r="F116" s="16">
        <v>3.0</v>
      </c>
      <c r="G116" s="33" t="s">
        <v>261</v>
      </c>
      <c r="H116" s="16" t="s">
        <v>313</v>
      </c>
      <c r="I116" s="16" t="s">
        <v>263</v>
      </c>
      <c r="J116" s="16">
        <v>234.5</v>
      </c>
      <c r="K116" s="16">
        <v>111.0</v>
      </c>
      <c r="L116" s="22">
        <v>16.0</v>
      </c>
      <c r="M116" s="22">
        <v>26.0</v>
      </c>
      <c r="N116" s="40">
        <f>+10</f>
        <v>10</v>
      </c>
      <c r="O116" s="39">
        <v>0.0</v>
      </c>
      <c r="P116" s="22">
        <v>6600.0</v>
      </c>
      <c r="Q116" s="22">
        <v>0.0</v>
      </c>
      <c r="R116" s="22"/>
      <c r="S116" s="22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30" t="str">
        <f t="shared" si="1"/>
        <v>Damyean Dotson</v>
      </c>
      <c r="B117" s="23" t="s">
        <v>404</v>
      </c>
      <c r="C117" s="39">
        <v>0.0</v>
      </c>
      <c r="D117" s="32"/>
      <c r="E117" s="23" t="s">
        <v>404</v>
      </c>
      <c r="F117" s="16">
        <v>17.0</v>
      </c>
      <c r="G117" s="33" t="s">
        <v>283</v>
      </c>
      <c r="H117" s="16" t="s">
        <v>266</v>
      </c>
      <c r="I117" s="16" t="s">
        <v>259</v>
      </c>
      <c r="J117" s="16">
        <v>224.5</v>
      </c>
      <c r="K117" s="39">
        <v>109.0</v>
      </c>
      <c r="L117" s="45">
        <v>21.0</v>
      </c>
      <c r="M117" s="22">
        <v>111.0</v>
      </c>
      <c r="N117" s="44">
        <f>+90</f>
        <v>90</v>
      </c>
      <c r="O117" s="39">
        <v>0.0</v>
      </c>
      <c r="P117" s="22">
        <v>3500.0</v>
      </c>
      <c r="Q117" s="22">
        <v>0.0</v>
      </c>
      <c r="R117" s="22"/>
      <c r="S117" s="22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30" t="str">
        <f t="shared" si="1"/>
        <v>Kris Dunn</v>
      </c>
      <c r="B118" s="23" t="s">
        <v>405</v>
      </c>
      <c r="C118" s="39">
        <v>0.0</v>
      </c>
      <c r="D118" s="32"/>
      <c r="E118" s="23" t="s">
        <v>405</v>
      </c>
      <c r="F118" s="16" t="s">
        <v>382</v>
      </c>
      <c r="G118" s="33" t="s">
        <v>269</v>
      </c>
      <c r="H118" s="16" t="s">
        <v>272</v>
      </c>
      <c r="I118" s="16" t="s">
        <v>255</v>
      </c>
      <c r="J118" s="16">
        <v>231.0</v>
      </c>
      <c r="K118" s="16">
        <v>113.0</v>
      </c>
      <c r="L118" s="45">
        <v>20.0</v>
      </c>
      <c r="M118" s="22">
        <v>62.0</v>
      </c>
      <c r="N118" s="42">
        <f>+42</f>
        <v>42</v>
      </c>
      <c r="O118" s="39">
        <v>0.0</v>
      </c>
      <c r="P118" s="22">
        <v>4100.0</v>
      </c>
      <c r="Q118" s="22">
        <v>0.0</v>
      </c>
      <c r="R118" s="22"/>
      <c r="S118" s="22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30" t="str">
        <f t="shared" si="1"/>
        <v>Luke Kornet</v>
      </c>
      <c r="B119" s="23" t="s">
        <v>406</v>
      </c>
      <c r="C119" s="39">
        <v>0.0</v>
      </c>
      <c r="D119" s="32"/>
      <c r="E119" s="23" t="s">
        <v>406</v>
      </c>
      <c r="F119" s="16">
        <v>9.0</v>
      </c>
      <c r="G119" s="33" t="s">
        <v>265</v>
      </c>
      <c r="H119" s="16" t="s">
        <v>266</v>
      </c>
      <c r="I119" s="16" t="s">
        <v>267</v>
      </c>
      <c r="J119" s="16">
        <v>212.5</v>
      </c>
      <c r="K119" s="39">
        <v>109.5</v>
      </c>
      <c r="L119" s="46">
        <v>29.0</v>
      </c>
      <c r="M119" s="22">
        <v>119.0</v>
      </c>
      <c r="N119" s="44">
        <f>+90</f>
        <v>90</v>
      </c>
      <c r="O119" s="39">
        <v>0.0</v>
      </c>
      <c r="P119" s="22">
        <v>3500.0</v>
      </c>
      <c r="Q119" s="22">
        <v>0.0</v>
      </c>
      <c r="R119" s="22"/>
      <c r="S119" s="22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30" t="str">
        <f t="shared" si="1"/>
        <v>Kelly Oubre</v>
      </c>
      <c r="B120" s="23" t="s">
        <v>407</v>
      </c>
      <c r="C120" s="39">
        <v>0.0</v>
      </c>
      <c r="D120" s="32"/>
      <c r="E120" s="23" t="s">
        <v>407</v>
      </c>
      <c r="F120" s="16">
        <v>6.0</v>
      </c>
      <c r="G120" s="33" t="s">
        <v>257</v>
      </c>
      <c r="H120" s="16" t="s">
        <v>305</v>
      </c>
      <c r="I120" s="16" t="s">
        <v>259</v>
      </c>
      <c r="J120" s="16">
        <v>224.5</v>
      </c>
      <c r="K120" s="16">
        <v>115.5</v>
      </c>
      <c r="L120" s="22">
        <v>16.0</v>
      </c>
      <c r="M120" s="22">
        <v>22.0</v>
      </c>
      <c r="N120" s="40">
        <f>+6</f>
        <v>6</v>
      </c>
      <c r="O120" s="39">
        <v>0.0</v>
      </c>
      <c r="P120" s="22">
        <v>6900.0</v>
      </c>
      <c r="Q120" s="22">
        <v>0.0</v>
      </c>
      <c r="R120" s="22"/>
      <c r="S120" s="22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30" t="str">
        <f t="shared" si="1"/>
        <v>Gary Payton</v>
      </c>
      <c r="B121" s="23" t="s">
        <v>408</v>
      </c>
      <c r="C121" s="39">
        <v>0.0</v>
      </c>
      <c r="D121" s="32"/>
      <c r="E121" s="23" t="s">
        <v>408</v>
      </c>
      <c r="F121" s="16">
        <v>1.0</v>
      </c>
      <c r="G121" s="33" t="s">
        <v>257</v>
      </c>
      <c r="H121" s="16" t="s">
        <v>277</v>
      </c>
      <c r="I121" s="16" t="s">
        <v>259</v>
      </c>
      <c r="J121" s="16">
        <v>224.5</v>
      </c>
      <c r="K121" s="16">
        <v>115.5</v>
      </c>
      <c r="L121" s="45">
        <v>25.0</v>
      </c>
      <c r="M121" s="22">
        <v>127.0</v>
      </c>
      <c r="N121" s="43">
        <f>+102</f>
        <v>102</v>
      </c>
      <c r="O121" s="39">
        <v>0.0</v>
      </c>
      <c r="P121" s="22">
        <v>3500.0</v>
      </c>
      <c r="Q121" s="22">
        <v>0.0</v>
      </c>
      <c r="R121" s="22"/>
      <c r="S121" s="22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30" t="str">
        <f t="shared" si="1"/>
        <v>Cedi Osman</v>
      </c>
      <c r="B122" s="23" t="s">
        <v>409</v>
      </c>
      <c r="C122" s="39">
        <v>0.0</v>
      </c>
      <c r="D122" s="32"/>
      <c r="E122" s="23" t="s">
        <v>409</v>
      </c>
      <c r="F122" s="16">
        <v>1.0</v>
      </c>
      <c r="G122" s="33" t="s">
        <v>283</v>
      </c>
      <c r="H122" s="16" t="s">
        <v>300</v>
      </c>
      <c r="I122" s="16" t="s">
        <v>259</v>
      </c>
      <c r="J122" s="16">
        <v>224.5</v>
      </c>
      <c r="K122" s="39">
        <v>109.0</v>
      </c>
      <c r="L122" s="22">
        <v>15.0</v>
      </c>
      <c r="M122" s="22">
        <v>102.0</v>
      </c>
      <c r="N122" s="44">
        <f>+87</f>
        <v>87</v>
      </c>
      <c r="O122" s="39">
        <v>0.0</v>
      </c>
      <c r="P122" s="22">
        <v>3500.0</v>
      </c>
      <c r="Q122" s="22">
        <v>0.0</v>
      </c>
      <c r="R122" s="22"/>
      <c r="S122" s="22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30" t="str">
        <f t="shared" si="1"/>
        <v>John Collins</v>
      </c>
      <c r="B123" s="23" t="s">
        <v>410</v>
      </c>
      <c r="C123" s="39">
        <v>0.0</v>
      </c>
      <c r="D123" s="32"/>
      <c r="E123" s="23" t="s">
        <v>410</v>
      </c>
      <c r="F123" s="16">
        <v>16.0</v>
      </c>
      <c r="G123" s="33" t="s">
        <v>269</v>
      </c>
      <c r="H123" s="16" t="s">
        <v>305</v>
      </c>
      <c r="I123" s="16" t="s">
        <v>255</v>
      </c>
      <c r="J123" s="16">
        <v>231.0</v>
      </c>
      <c r="K123" s="16">
        <v>113.0</v>
      </c>
      <c r="L123" s="45">
        <v>26.0</v>
      </c>
      <c r="M123" s="22">
        <v>15.0</v>
      </c>
      <c r="N123" s="36">
        <v>-11.0</v>
      </c>
      <c r="O123" s="39">
        <v>0.0</v>
      </c>
      <c r="P123" s="22">
        <v>7400.0</v>
      </c>
      <c r="Q123" s="22">
        <v>0.0</v>
      </c>
      <c r="R123" s="22"/>
      <c r="S123" s="22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30" t="str">
        <f t="shared" si="1"/>
        <v>Isaiah Hartenstein</v>
      </c>
      <c r="B124" s="23" t="s">
        <v>411</v>
      </c>
      <c r="C124" s="39">
        <v>0.0</v>
      </c>
      <c r="D124" s="32"/>
      <c r="E124" s="23" t="s">
        <v>411</v>
      </c>
      <c r="F124" s="16">
        <v>1.0</v>
      </c>
      <c r="G124" s="33" t="s">
        <v>283</v>
      </c>
      <c r="H124" s="16" t="s">
        <v>289</v>
      </c>
      <c r="I124" s="16" t="s">
        <v>259</v>
      </c>
      <c r="J124" s="16">
        <v>224.5</v>
      </c>
      <c r="K124" s="39">
        <v>109.0</v>
      </c>
      <c r="L124" s="45">
        <v>24.0</v>
      </c>
      <c r="M124" s="22">
        <v>31.0</v>
      </c>
      <c r="N124" s="40">
        <f>+7</f>
        <v>7</v>
      </c>
      <c r="O124" s="39">
        <v>0.0</v>
      </c>
      <c r="P124" s="22">
        <v>6100.0</v>
      </c>
      <c r="Q124" s="22">
        <v>0.0</v>
      </c>
      <c r="R124" s="22"/>
      <c r="S124" s="22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30" t="str">
        <f t="shared" si="1"/>
        <v>Marvin Bagley</v>
      </c>
      <c r="B125" s="23" t="s">
        <v>412</v>
      </c>
      <c r="C125" s="39">
        <v>0.0</v>
      </c>
      <c r="D125" s="32"/>
      <c r="E125" s="23" t="s">
        <v>412</v>
      </c>
      <c r="F125" s="16">
        <v>31.0</v>
      </c>
      <c r="G125" s="33" t="s">
        <v>261</v>
      </c>
      <c r="H125" s="16" t="s">
        <v>281</v>
      </c>
      <c r="I125" s="16" t="s">
        <v>263</v>
      </c>
      <c r="J125" s="16">
        <v>234.5</v>
      </c>
      <c r="K125" s="16">
        <v>111.0</v>
      </c>
      <c r="L125" s="45">
        <v>23.0</v>
      </c>
      <c r="M125" s="22">
        <v>54.0</v>
      </c>
      <c r="N125" s="40">
        <f>+31</f>
        <v>31</v>
      </c>
      <c r="O125" s="39">
        <v>0.0</v>
      </c>
      <c r="P125" s="22">
        <v>4500.0</v>
      </c>
      <c r="Q125" s="22">
        <v>0.0</v>
      </c>
      <c r="R125" s="22"/>
      <c r="S125" s="22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30" t="str">
        <f t="shared" si="1"/>
        <v>Donte DiVincenzo</v>
      </c>
      <c r="B126" s="23" t="s">
        <v>413</v>
      </c>
      <c r="C126" s="39">
        <v>0.0</v>
      </c>
      <c r="D126" s="32"/>
      <c r="E126" s="23" t="s">
        <v>413</v>
      </c>
      <c r="F126" s="16">
        <v>1.0</v>
      </c>
      <c r="G126" s="33" t="s">
        <v>253</v>
      </c>
      <c r="H126" s="16" t="s">
        <v>337</v>
      </c>
      <c r="I126" s="16" t="s">
        <v>255</v>
      </c>
      <c r="J126" s="16">
        <v>231.0</v>
      </c>
      <c r="K126" s="34">
        <v>118.5</v>
      </c>
      <c r="L126" s="45">
        <v>27.0</v>
      </c>
      <c r="M126" s="22">
        <v>36.0</v>
      </c>
      <c r="N126" s="40">
        <f>+9</f>
        <v>9</v>
      </c>
      <c r="O126" s="39">
        <v>0.0</v>
      </c>
      <c r="P126" s="22">
        <v>5800.0</v>
      </c>
      <c r="Q126" s="22">
        <v>0.0</v>
      </c>
      <c r="R126" s="22"/>
      <c r="S126" s="22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30" t="str">
        <f t="shared" si="1"/>
        <v>Rodions Kurucs</v>
      </c>
      <c r="B127" s="23" t="s">
        <v>414</v>
      </c>
      <c r="C127" s="39">
        <v>0.0</v>
      </c>
      <c r="D127" s="32"/>
      <c r="E127" s="23" t="s">
        <v>414</v>
      </c>
      <c r="F127" s="16">
        <v>1.0</v>
      </c>
      <c r="G127" s="33" t="s">
        <v>253</v>
      </c>
      <c r="H127" s="16" t="s">
        <v>254</v>
      </c>
      <c r="I127" s="16" t="s">
        <v>255</v>
      </c>
      <c r="J127" s="16">
        <v>231.0</v>
      </c>
      <c r="K127" s="34">
        <v>118.5</v>
      </c>
      <c r="L127" s="45">
        <v>22.0</v>
      </c>
      <c r="M127" s="22">
        <v>78.0</v>
      </c>
      <c r="N127" s="42">
        <f>+56</f>
        <v>56</v>
      </c>
      <c r="O127" s="39">
        <v>0.0</v>
      </c>
      <c r="P127" s="22">
        <v>3500.0</v>
      </c>
      <c r="Q127" s="22">
        <v>0.0</v>
      </c>
      <c r="R127" s="22"/>
      <c r="S127" s="22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30" t="str">
        <f t="shared" si="1"/>
        <v>Moritz Wagner</v>
      </c>
      <c r="B128" s="23" t="s">
        <v>415</v>
      </c>
      <c r="C128" s="39">
        <v>0.0</v>
      </c>
      <c r="D128" s="32"/>
      <c r="E128" s="23" t="s">
        <v>415</v>
      </c>
      <c r="F128" s="16">
        <v>4.0</v>
      </c>
      <c r="G128" s="33" t="s">
        <v>265</v>
      </c>
      <c r="H128" s="16" t="s">
        <v>266</v>
      </c>
      <c r="I128" s="16" t="s">
        <v>267</v>
      </c>
      <c r="J128" s="16">
        <v>212.5</v>
      </c>
      <c r="K128" s="39">
        <v>109.5</v>
      </c>
      <c r="L128" s="45">
        <v>21.0</v>
      </c>
      <c r="M128" s="22">
        <v>90.0</v>
      </c>
      <c r="N128" s="44">
        <f>+69</f>
        <v>69</v>
      </c>
      <c r="O128" s="39">
        <v>0.0</v>
      </c>
      <c r="P128" s="22">
        <v>3500.0</v>
      </c>
      <c r="Q128" s="22">
        <v>0.0</v>
      </c>
      <c r="R128" s="22"/>
      <c r="S128" s="22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30" t="str">
        <f t="shared" si="1"/>
        <v>Kostas Antetokounmpo</v>
      </c>
      <c r="B129" s="23" t="s">
        <v>416</v>
      </c>
      <c r="C129" s="39">
        <v>0.0</v>
      </c>
      <c r="D129" s="32"/>
      <c r="E129" s="23" t="s">
        <v>416</v>
      </c>
      <c r="F129" s="16">
        <v>3.0</v>
      </c>
      <c r="G129" s="33" t="s">
        <v>294</v>
      </c>
      <c r="H129" s="16" t="s">
        <v>308</v>
      </c>
      <c r="I129" s="16" t="s">
        <v>267</v>
      </c>
      <c r="J129" s="16">
        <v>212.5</v>
      </c>
      <c r="K129" s="41">
        <v>103.5</v>
      </c>
      <c r="L129" s="45">
        <v>20.0</v>
      </c>
      <c r="M129" s="22">
        <v>87.0</v>
      </c>
      <c r="N129" s="44">
        <f>+67</f>
        <v>67</v>
      </c>
      <c r="O129" s="39">
        <v>0.0</v>
      </c>
      <c r="P129" s="22">
        <v>3500.0</v>
      </c>
      <c r="Q129" s="22">
        <v>0.0</v>
      </c>
      <c r="R129" s="22"/>
      <c r="S129" s="22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30" t="str">
        <f t="shared" si="1"/>
        <v>LeBron James</v>
      </c>
      <c r="B130" s="23" t="s">
        <v>417</v>
      </c>
      <c r="C130" s="39">
        <v>0.0</v>
      </c>
      <c r="D130" s="32"/>
      <c r="E130" s="23" t="s">
        <v>417</v>
      </c>
      <c r="F130" s="16">
        <v>26.0</v>
      </c>
      <c r="G130" s="33" t="s">
        <v>294</v>
      </c>
      <c r="H130" s="16" t="s">
        <v>308</v>
      </c>
      <c r="I130" s="16" t="s">
        <v>267</v>
      </c>
      <c r="J130" s="16">
        <v>212.5</v>
      </c>
      <c r="K130" s="41">
        <v>103.5</v>
      </c>
      <c r="L130" s="22">
        <v>14.0</v>
      </c>
      <c r="M130" s="22">
        <v>2.0</v>
      </c>
      <c r="N130" s="36">
        <v>-12.0</v>
      </c>
      <c r="O130" s="39">
        <v>0.0</v>
      </c>
      <c r="P130" s="22">
        <v>10000.0</v>
      </c>
      <c r="Q130" s="22">
        <v>0.0</v>
      </c>
      <c r="R130" s="22"/>
      <c r="S130" s="22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30" t="str">
        <f t="shared" si="1"/>
        <v>Danilo Gallinari</v>
      </c>
      <c r="B131" s="23" t="s">
        <v>418</v>
      </c>
      <c r="C131" s="39">
        <v>0.0</v>
      </c>
      <c r="D131" s="32"/>
      <c r="E131" s="23" t="s">
        <v>418</v>
      </c>
      <c r="F131" s="16">
        <v>6.0</v>
      </c>
      <c r="G131" s="33" t="s">
        <v>269</v>
      </c>
      <c r="H131" s="16" t="s">
        <v>305</v>
      </c>
      <c r="I131" s="16" t="s">
        <v>255</v>
      </c>
      <c r="J131" s="16">
        <v>231.0</v>
      </c>
      <c r="K131" s="16">
        <v>113.0</v>
      </c>
      <c r="L131" s="45">
        <v>19.0</v>
      </c>
      <c r="M131" s="22">
        <v>38.0</v>
      </c>
      <c r="N131" s="40">
        <f>+19</f>
        <v>19</v>
      </c>
      <c r="O131" s="39">
        <v>0.0</v>
      </c>
      <c r="P131" s="22">
        <v>5600.0</v>
      </c>
      <c r="Q131" s="22">
        <v>0.0</v>
      </c>
      <c r="R131" s="22"/>
      <c r="S131" s="22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30" t="str">
        <f t="shared" si="1"/>
        <v>Brandon Goodwin</v>
      </c>
      <c r="B132" s="23" t="s">
        <v>419</v>
      </c>
      <c r="C132" s="39">
        <v>0.0</v>
      </c>
      <c r="D132" s="32"/>
      <c r="E132" s="23" t="s">
        <v>419</v>
      </c>
      <c r="F132" s="16">
        <v>2.0</v>
      </c>
      <c r="G132" s="33" t="s">
        <v>269</v>
      </c>
      <c r="H132" s="16" t="s">
        <v>272</v>
      </c>
      <c r="I132" s="16" t="s">
        <v>255</v>
      </c>
      <c r="J132" s="16">
        <v>231.0</v>
      </c>
      <c r="K132" s="16">
        <v>113.0</v>
      </c>
      <c r="L132" s="45">
        <v>24.0</v>
      </c>
      <c r="M132" s="22">
        <v>75.0</v>
      </c>
      <c r="N132" s="42">
        <f>+51</f>
        <v>51</v>
      </c>
      <c r="O132" s="39">
        <v>0.0</v>
      </c>
      <c r="P132" s="22">
        <v>3700.0</v>
      </c>
      <c r="Q132" s="22">
        <v>0.0</v>
      </c>
      <c r="R132" s="22"/>
      <c r="S132" s="22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30" t="str">
        <f t="shared" si="1"/>
        <v>Jared Dudley</v>
      </c>
      <c r="B133" s="23" t="s">
        <v>420</v>
      </c>
      <c r="C133" s="39">
        <v>0.0</v>
      </c>
      <c r="D133" s="32"/>
      <c r="E133" s="23" t="s">
        <v>420</v>
      </c>
      <c r="F133" s="16">
        <v>43.0</v>
      </c>
      <c r="G133" s="33" t="s">
        <v>294</v>
      </c>
      <c r="H133" s="16" t="s">
        <v>308</v>
      </c>
      <c r="I133" s="16" t="s">
        <v>267</v>
      </c>
      <c r="J133" s="16">
        <v>212.5</v>
      </c>
      <c r="K133" s="41">
        <v>103.5</v>
      </c>
      <c r="L133" s="45">
        <v>25.0</v>
      </c>
      <c r="M133" s="22">
        <v>99.0</v>
      </c>
      <c r="N133" s="44">
        <f>+74</f>
        <v>74</v>
      </c>
      <c r="O133" s="39">
        <v>0.0</v>
      </c>
      <c r="P133" s="22">
        <v>3500.0</v>
      </c>
      <c r="Q133" s="22">
        <v>0.0</v>
      </c>
      <c r="R133" s="22"/>
      <c r="S133" s="22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30" t="str">
        <f t="shared" si="1"/>
        <v>Michael Carter-Williams</v>
      </c>
      <c r="B134" s="23" t="s">
        <v>421</v>
      </c>
      <c r="C134" s="16">
        <v>18.0</v>
      </c>
      <c r="D134" s="32"/>
      <c r="E134" s="23" t="s">
        <v>421</v>
      </c>
      <c r="F134" s="16">
        <v>2.0</v>
      </c>
      <c r="G134" s="33" t="s">
        <v>422</v>
      </c>
      <c r="H134" s="16" t="s">
        <v>337</v>
      </c>
      <c r="I134" s="16" t="s">
        <v>423</v>
      </c>
      <c r="J134" s="16">
        <v>214.5</v>
      </c>
      <c r="K134" s="41">
        <v>102.5</v>
      </c>
      <c r="L134" s="22">
        <v>29.0</v>
      </c>
      <c r="M134" s="22">
        <v>95.0</v>
      </c>
      <c r="N134" s="44">
        <f>+66</f>
        <v>66</v>
      </c>
      <c r="O134" s="16">
        <v>18.0</v>
      </c>
      <c r="P134" s="22">
        <v>5300.0</v>
      </c>
      <c r="Q134" s="22">
        <v>295.0</v>
      </c>
      <c r="R134" s="22"/>
      <c r="S134" s="22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30" t="str">
        <f t="shared" si="1"/>
        <v>Kenyon Martin</v>
      </c>
      <c r="B135" s="23" t="s">
        <v>424</v>
      </c>
      <c r="C135" s="16">
        <v>17.9</v>
      </c>
      <c r="D135" s="32"/>
      <c r="E135" s="23" t="s">
        <v>424</v>
      </c>
      <c r="F135" s="16">
        <v>2.0</v>
      </c>
      <c r="G135" s="33" t="s">
        <v>425</v>
      </c>
      <c r="H135" s="16" t="s">
        <v>426</v>
      </c>
      <c r="I135" s="16" t="s">
        <v>427</v>
      </c>
      <c r="J135" s="16">
        <v>234.0</v>
      </c>
      <c r="K135" s="34">
        <v>115.0</v>
      </c>
      <c r="L135" s="22">
        <v>35.0</v>
      </c>
      <c r="M135" s="22">
        <v>210.0</v>
      </c>
      <c r="N135" s="43">
        <f>+175</f>
        <v>175</v>
      </c>
      <c r="O135" s="16">
        <v>17.9</v>
      </c>
      <c r="P135" s="22">
        <v>3600.0</v>
      </c>
      <c r="Q135" s="22">
        <v>201.0</v>
      </c>
      <c r="R135" s="22"/>
      <c r="S135" s="22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30" t="str">
        <f t="shared" si="1"/>
        <v>James Ennis</v>
      </c>
      <c r="B136" s="23" t="s">
        <v>428</v>
      </c>
      <c r="C136" s="16">
        <v>17.9</v>
      </c>
      <c r="D136" s="32"/>
      <c r="E136" s="23" t="s">
        <v>428</v>
      </c>
      <c r="F136" s="16">
        <v>2.0</v>
      </c>
      <c r="G136" s="33" t="s">
        <v>422</v>
      </c>
      <c r="H136" s="16" t="s">
        <v>313</v>
      </c>
      <c r="I136" s="16" t="s">
        <v>423</v>
      </c>
      <c r="J136" s="16">
        <v>214.5</v>
      </c>
      <c r="K136" s="41">
        <v>102.5</v>
      </c>
      <c r="L136" s="37">
        <v>24.0</v>
      </c>
      <c r="M136" s="22">
        <v>119.0</v>
      </c>
      <c r="N136" s="44">
        <f>+95</f>
        <v>95</v>
      </c>
      <c r="O136" s="16">
        <v>17.9</v>
      </c>
      <c r="P136" s="22">
        <v>4900.0</v>
      </c>
      <c r="Q136" s="22">
        <v>274.0</v>
      </c>
      <c r="R136" s="22"/>
      <c r="S136" s="22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30" t="str">
        <f t="shared" si="1"/>
        <v>Maurice Harkless</v>
      </c>
      <c r="B137" s="23" t="s">
        <v>345</v>
      </c>
      <c r="C137" s="16">
        <v>17.8</v>
      </c>
      <c r="D137" s="32"/>
      <c r="E137" s="23" t="s">
        <v>345</v>
      </c>
      <c r="F137" s="16">
        <v>2.0</v>
      </c>
      <c r="G137" s="33" t="s">
        <v>429</v>
      </c>
      <c r="H137" s="16" t="s">
        <v>430</v>
      </c>
      <c r="I137" s="16" t="s">
        <v>431</v>
      </c>
      <c r="J137" s="16">
        <v>242.0</v>
      </c>
      <c r="K137" s="31">
        <v>120.0</v>
      </c>
      <c r="L137" s="37">
        <v>25.0</v>
      </c>
      <c r="M137" s="22">
        <v>175.0</v>
      </c>
      <c r="N137" s="43">
        <f>+150</f>
        <v>150</v>
      </c>
      <c r="O137" s="16">
        <v>17.8</v>
      </c>
      <c r="P137" s="22">
        <v>4000.0</v>
      </c>
      <c r="Q137" s="22">
        <v>225.0</v>
      </c>
      <c r="R137" s="22"/>
      <c r="S137" s="22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30" t="str">
        <f t="shared" si="1"/>
        <v>Taurean Prince</v>
      </c>
      <c r="B138" s="23" t="s">
        <v>334</v>
      </c>
      <c r="C138" s="16">
        <v>17.6</v>
      </c>
      <c r="D138" s="32"/>
      <c r="E138" s="23" t="s">
        <v>334</v>
      </c>
      <c r="F138" s="16">
        <v>3.0</v>
      </c>
      <c r="G138" s="33" t="s">
        <v>432</v>
      </c>
      <c r="H138" s="16" t="s">
        <v>275</v>
      </c>
      <c r="I138" s="16" t="s">
        <v>433</v>
      </c>
      <c r="J138" s="16">
        <v>212.5</v>
      </c>
      <c r="K138" s="39">
        <v>104.5</v>
      </c>
      <c r="L138" s="37">
        <v>26.0</v>
      </c>
      <c r="M138" s="22">
        <v>89.0</v>
      </c>
      <c r="N138" s="44">
        <f>+63</f>
        <v>63</v>
      </c>
      <c r="O138" s="16">
        <v>17.6</v>
      </c>
      <c r="P138" s="22">
        <v>5500.0</v>
      </c>
      <c r="Q138" s="22">
        <v>312.0</v>
      </c>
      <c r="R138" s="22"/>
      <c r="S138" s="22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30" t="str">
        <f t="shared" si="1"/>
        <v>Stanley Johnson</v>
      </c>
      <c r="B139" s="23" t="s">
        <v>434</v>
      </c>
      <c r="C139" s="16">
        <v>17.5</v>
      </c>
      <c r="D139" s="32"/>
      <c r="E139" s="23" t="s">
        <v>434</v>
      </c>
      <c r="F139" s="16">
        <v>4.0</v>
      </c>
      <c r="G139" s="33" t="s">
        <v>435</v>
      </c>
      <c r="H139" s="16" t="s">
        <v>305</v>
      </c>
      <c r="I139" s="16" t="s">
        <v>436</v>
      </c>
      <c r="J139" s="16">
        <v>221.5</v>
      </c>
      <c r="K139" s="39">
        <v>108.0</v>
      </c>
      <c r="L139" s="22">
        <v>27.0</v>
      </c>
      <c r="M139" s="22">
        <v>211.0</v>
      </c>
      <c r="N139" s="43">
        <f>+184</f>
        <v>184</v>
      </c>
      <c r="O139" s="16">
        <v>17.5</v>
      </c>
      <c r="P139" s="22">
        <v>3600.0</v>
      </c>
      <c r="Q139" s="22">
        <v>206.0</v>
      </c>
      <c r="R139" s="22"/>
      <c r="S139" s="22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30" t="str">
        <f t="shared" si="1"/>
        <v>Taj Gibson</v>
      </c>
      <c r="B140" s="23" t="s">
        <v>437</v>
      </c>
      <c r="C140" s="16">
        <v>17.5</v>
      </c>
      <c r="D140" s="32"/>
      <c r="E140" s="23" t="s">
        <v>437</v>
      </c>
      <c r="F140" s="16">
        <v>2.0</v>
      </c>
      <c r="G140" s="33" t="s">
        <v>438</v>
      </c>
      <c r="H140" s="16" t="s">
        <v>305</v>
      </c>
      <c r="I140" s="16" t="s">
        <v>439</v>
      </c>
      <c r="J140" s="16">
        <v>219.5</v>
      </c>
      <c r="K140" s="16">
        <v>108.5</v>
      </c>
      <c r="L140" s="22">
        <v>36.0</v>
      </c>
      <c r="M140" s="22">
        <v>155.0</v>
      </c>
      <c r="N140" s="43">
        <f>+119</f>
        <v>119</v>
      </c>
      <c r="O140" s="16">
        <v>17.5</v>
      </c>
      <c r="P140" s="22">
        <v>4200.0</v>
      </c>
      <c r="Q140" s="22">
        <v>240.0</v>
      </c>
      <c r="R140" s="22"/>
      <c r="S140" s="22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30" t="str">
        <f t="shared" si="1"/>
        <v>Garrett Temple</v>
      </c>
      <c r="B141" s="23" t="s">
        <v>440</v>
      </c>
      <c r="C141" s="16">
        <v>17.4</v>
      </c>
      <c r="D141" s="32"/>
      <c r="E141" s="23" t="s">
        <v>440</v>
      </c>
      <c r="F141" s="16">
        <v>16.0</v>
      </c>
      <c r="G141" s="33" t="s">
        <v>441</v>
      </c>
      <c r="H141" s="16" t="s">
        <v>442</v>
      </c>
      <c r="I141" s="16" t="s">
        <v>423</v>
      </c>
      <c r="J141" s="16">
        <v>214.5</v>
      </c>
      <c r="K141" s="16">
        <v>112.0</v>
      </c>
      <c r="L141" s="22">
        <v>28.0</v>
      </c>
      <c r="M141" s="22">
        <v>227.0</v>
      </c>
      <c r="N141" s="43">
        <f>+199</f>
        <v>199</v>
      </c>
      <c r="O141" s="16">
        <v>17.4</v>
      </c>
      <c r="P141" s="22">
        <v>3500.0</v>
      </c>
      <c r="Q141" s="22">
        <v>202.0</v>
      </c>
      <c r="R141" s="22"/>
      <c r="S141" s="22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30" t="str">
        <f t="shared" si="1"/>
        <v>Alize Johnson</v>
      </c>
      <c r="B142" s="23" t="s">
        <v>443</v>
      </c>
      <c r="C142" s="16">
        <v>17.4</v>
      </c>
      <c r="D142" s="32"/>
      <c r="E142" s="23" t="s">
        <v>443</v>
      </c>
      <c r="F142" s="16">
        <v>1.0</v>
      </c>
      <c r="G142" s="33" t="s">
        <v>444</v>
      </c>
      <c r="H142" s="16" t="s">
        <v>302</v>
      </c>
      <c r="I142" s="16" t="s">
        <v>445</v>
      </c>
      <c r="J142" s="16">
        <v>225.5</v>
      </c>
      <c r="K142" s="16">
        <v>108.5</v>
      </c>
      <c r="L142" s="22">
        <v>37.0</v>
      </c>
      <c r="M142" s="22">
        <v>242.0</v>
      </c>
      <c r="N142" s="43">
        <f>+205</f>
        <v>205</v>
      </c>
      <c r="O142" s="16">
        <v>17.4</v>
      </c>
      <c r="P142" s="22">
        <v>3500.0</v>
      </c>
      <c r="Q142" s="22">
        <v>201.0</v>
      </c>
      <c r="R142" s="22"/>
      <c r="S142" s="22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30" t="str">
        <f t="shared" si="1"/>
        <v>Goga Bitadze</v>
      </c>
      <c r="B143" s="23" t="s">
        <v>446</v>
      </c>
      <c r="C143" s="16">
        <v>17.3</v>
      </c>
      <c r="D143" s="32"/>
      <c r="E143" s="23" t="s">
        <v>446</v>
      </c>
      <c r="F143" s="16">
        <v>1.0</v>
      </c>
      <c r="G143" s="33" t="s">
        <v>447</v>
      </c>
      <c r="H143" s="16" t="s">
        <v>277</v>
      </c>
      <c r="I143" s="16" t="s">
        <v>427</v>
      </c>
      <c r="J143" s="16">
        <v>234.0</v>
      </c>
      <c r="K143" s="34">
        <v>119.5</v>
      </c>
      <c r="L143" s="37">
        <v>23.0</v>
      </c>
      <c r="M143" s="22">
        <v>92.0</v>
      </c>
      <c r="N143" s="44">
        <f>+69</f>
        <v>69</v>
      </c>
      <c r="O143" s="16">
        <v>17.3</v>
      </c>
      <c r="P143" s="22">
        <v>5400.0</v>
      </c>
      <c r="Q143" s="22">
        <v>313.0</v>
      </c>
      <c r="R143" s="22"/>
      <c r="S143" s="22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30" t="str">
        <f t="shared" si="1"/>
        <v>Duncan Robinson</v>
      </c>
      <c r="B144" s="23" t="s">
        <v>448</v>
      </c>
      <c r="C144" s="16">
        <v>17.2</v>
      </c>
      <c r="D144" s="32"/>
      <c r="E144" s="23" t="s">
        <v>448</v>
      </c>
      <c r="F144" s="16">
        <v>1.0</v>
      </c>
      <c r="G144" s="33" t="s">
        <v>449</v>
      </c>
      <c r="H144" s="16" t="s">
        <v>298</v>
      </c>
      <c r="I144" s="16" t="s">
        <v>450</v>
      </c>
      <c r="J144" s="16">
        <v>209.0</v>
      </c>
      <c r="K144" s="41">
        <v>101.5</v>
      </c>
      <c r="L144" s="37">
        <v>26.0</v>
      </c>
      <c r="M144" s="22">
        <v>140.0</v>
      </c>
      <c r="N144" s="43">
        <f>+114</f>
        <v>114</v>
      </c>
      <c r="O144" s="16">
        <v>17.2</v>
      </c>
      <c r="P144" s="22">
        <v>4500.0</v>
      </c>
      <c r="Q144" s="22">
        <v>261.0</v>
      </c>
      <c r="R144" s="22"/>
      <c r="S144" s="22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30" t="str">
        <f t="shared" si="1"/>
        <v>James Johnson</v>
      </c>
      <c r="B145" s="23" t="s">
        <v>451</v>
      </c>
      <c r="C145" s="16">
        <v>17.2</v>
      </c>
      <c r="D145" s="32"/>
      <c r="E145" s="23" t="s">
        <v>451</v>
      </c>
      <c r="F145" s="16">
        <v>2.0</v>
      </c>
      <c r="G145" s="33" t="s">
        <v>452</v>
      </c>
      <c r="H145" s="16" t="s">
        <v>324</v>
      </c>
      <c r="I145" s="16" t="s">
        <v>439</v>
      </c>
      <c r="J145" s="16">
        <v>219.5</v>
      </c>
      <c r="K145" s="16">
        <v>111.5</v>
      </c>
      <c r="L145" s="22">
        <v>38.0</v>
      </c>
      <c r="M145" s="22">
        <v>130.0</v>
      </c>
      <c r="N145" s="44">
        <f>+92</f>
        <v>92</v>
      </c>
      <c r="O145" s="16">
        <v>17.2</v>
      </c>
      <c r="P145" s="22">
        <v>4700.0</v>
      </c>
      <c r="Q145" s="22">
        <v>273.0</v>
      </c>
      <c r="R145" s="22"/>
      <c r="S145" s="22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30" t="str">
        <f t="shared" si="1"/>
        <v>Hassan Whiteside</v>
      </c>
      <c r="B146" s="23" t="s">
        <v>312</v>
      </c>
      <c r="C146" s="16">
        <v>17.1</v>
      </c>
      <c r="D146" s="32"/>
      <c r="E146" s="23" t="s">
        <v>312</v>
      </c>
      <c r="F146" s="16">
        <v>2.0</v>
      </c>
      <c r="G146" s="33" t="s">
        <v>429</v>
      </c>
      <c r="H146" s="16" t="s">
        <v>453</v>
      </c>
      <c r="I146" s="16" t="s">
        <v>431</v>
      </c>
      <c r="J146" s="16">
        <v>242.0</v>
      </c>
      <c r="K146" s="31">
        <v>120.0</v>
      </c>
      <c r="L146" s="37">
        <v>24.0</v>
      </c>
      <c r="M146" s="22">
        <v>219.0</v>
      </c>
      <c r="N146" s="43">
        <f>+195</f>
        <v>195</v>
      </c>
      <c r="O146" s="16">
        <v>17.1</v>
      </c>
      <c r="P146" s="22">
        <v>3600.0</v>
      </c>
      <c r="Q146" s="22">
        <v>210.0</v>
      </c>
      <c r="R146" s="22"/>
      <c r="S146" s="22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30" t="str">
        <f t="shared" si="1"/>
        <v>Tim Hardaway</v>
      </c>
      <c r="B147" s="23" t="s">
        <v>454</v>
      </c>
      <c r="C147" s="16">
        <v>16.9</v>
      </c>
      <c r="D147" s="32"/>
      <c r="E147" s="23" t="s">
        <v>454</v>
      </c>
      <c r="F147" s="16">
        <v>2.0</v>
      </c>
      <c r="G147" s="33" t="s">
        <v>455</v>
      </c>
      <c r="H147" s="16" t="s">
        <v>272</v>
      </c>
      <c r="I147" s="16" t="s">
        <v>456</v>
      </c>
      <c r="J147" s="16">
        <v>225.5</v>
      </c>
      <c r="K147" s="34">
        <v>114.5</v>
      </c>
      <c r="L147" s="22">
        <v>27.0</v>
      </c>
      <c r="M147" s="22">
        <v>124.0</v>
      </c>
      <c r="N147" s="44">
        <f>+97</f>
        <v>97</v>
      </c>
      <c r="O147" s="16">
        <v>16.9</v>
      </c>
      <c r="P147" s="22">
        <v>4800.0</v>
      </c>
      <c r="Q147" s="22">
        <v>284.0</v>
      </c>
      <c r="R147" s="22"/>
      <c r="S147" s="22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30" t="str">
        <f t="shared" si="1"/>
        <v>Dean Wade</v>
      </c>
      <c r="B148" s="23" t="s">
        <v>343</v>
      </c>
      <c r="C148" s="16">
        <v>16.7</v>
      </c>
      <c r="D148" s="32"/>
      <c r="E148" s="23" t="s">
        <v>343</v>
      </c>
      <c r="F148" s="16">
        <v>3.0</v>
      </c>
      <c r="G148" s="33" t="s">
        <v>432</v>
      </c>
      <c r="H148" s="16" t="s">
        <v>442</v>
      </c>
      <c r="I148" s="16" t="s">
        <v>433</v>
      </c>
      <c r="J148" s="16">
        <v>212.5</v>
      </c>
      <c r="K148" s="39">
        <v>104.5</v>
      </c>
      <c r="L148" s="22">
        <v>39.0</v>
      </c>
      <c r="M148" s="22">
        <v>108.0</v>
      </c>
      <c r="N148" s="44">
        <f>+69</f>
        <v>69</v>
      </c>
      <c r="O148" s="16">
        <v>16.7</v>
      </c>
      <c r="P148" s="22">
        <v>5100.0</v>
      </c>
      <c r="Q148" s="22">
        <v>305.0</v>
      </c>
      <c r="R148" s="22"/>
      <c r="S148" s="22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30" t="str">
        <f t="shared" si="1"/>
        <v>Lauri Markkanen</v>
      </c>
      <c r="B149" s="23" t="s">
        <v>457</v>
      </c>
      <c r="C149" s="16">
        <v>16.6</v>
      </c>
      <c r="D149" s="32"/>
      <c r="E149" s="23" t="s">
        <v>457</v>
      </c>
      <c r="F149" s="16">
        <v>2.0</v>
      </c>
      <c r="G149" s="33" t="s">
        <v>441</v>
      </c>
      <c r="H149" s="16" t="s">
        <v>266</v>
      </c>
      <c r="I149" s="16" t="s">
        <v>423</v>
      </c>
      <c r="J149" s="16">
        <v>214.5</v>
      </c>
      <c r="K149" s="16">
        <v>112.0</v>
      </c>
      <c r="L149" s="22">
        <v>40.0</v>
      </c>
      <c r="M149" s="22">
        <v>151.0</v>
      </c>
      <c r="N149" s="43">
        <f>+111</f>
        <v>111</v>
      </c>
      <c r="O149" s="16">
        <v>16.6</v>
      </c>
      <c r="P149" s="22">
        <v>4200.0</v>
      </c>
      <c r="Q149" s="22">
        <v>254.0</v>
      </c>
      <c r="R149" s="22"/>
      <c r="S149" s="22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30" t="str">
        <f t="shared" si="1"/>
        <v>Svi Mykhailiuk</v>
      </c>
      <c r="B150" s="23" t="s">
        <v>458</v>
      </c>
      <c r="C150" s="16">
        <v>16.6</v>
      </c>
      <c r="D150" s="32"/>
      <c r="E150" s="23" t="s">
        <v>458</v>
      </c>
      <c r="F150" s="16">
        <v>1.0</v>
      </c>
      <c r="G150" s="33" t="s">
        <v>459</v>
      </c>
      <c r="H150" s="16" t="s">
        <v>286</v>
      </c>
      <c r="I150" s="16" t="s">
        <v>460</v>
      </c>
      <c r="J150" s="16">
        <v>224.5</v>
      </c>
      <c r="K150" s="39">
        <v>106.5</v>
      </c>
      <c r="L150" s="22">
        <v>28.0</v>
      </c>
      <c r="M150" s="22">
        <v>171.0</v>
      </c>
      <c r="N150" s="43">
        <f>+143</f>
        <v>143</v>
      </c>
      <c r="O150" s="16">
        <v>16.6</v>
      </c>
      <c r="P150" s="22">
        <v>4000.0</v>
      </c>
      <c r="Q150" s="22">
        <v>241.0</v>
      </c>
      <c r="R150" s="22"/>
      <c r="S150" s="22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30" t="str">
        <f t="shared" si="1"/>
        <v>Robin Lopez</v>
      </c>
      <c r="B151" s="23" t="s">
        <v>461</v>
      </c>
      <c r="C151" s="16">
        <v>16.5</v>
      </c>
      <c r="D151" s="32"/>
      <c r="E151" s="23" t="s">
        <v>461</v>
      </c>
      <c r="F151" s="16">
        <v>2.0</v>
      </c>
      <c r="G151" s="33" t="s">
        <v>462</v>
      </c>
      <c r="H151" s="16" t="s">
        <v>430</v>
      </c>
      <c r="I151" s="16" t="s">
        <v>431</v>
      </c>
      <c r="J151" s="16">
        <v>242.0</v>
      </c>
      <c r="K151" s="31">
        <v>122.5</v>
      </c>
      <c r="L151" s="37">
        <v>25.0</v>
      </c>
      <c r="M151" s="22">
        <v>177.0</v>
      </c>
      <c r="N151" s="43">
        <f>+152</f>
        <v>152</v>
      </c>
      <c r="O151" s="16">
        <v>16.5</v>
      </c>
      <c r="P151" s="22">
        <v>4000.0</v>
      </c>
      <c r="Q151" s="22">
        <v>243.0</v>
      </c>
      <c r="R151" s="22"/>
      <c r="S151" s="22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30" t="str">
        <f t="shared" si="1"/>
        <v>Damion Lee</v>
      </c>
      <c r="B152" s="23" t="s">
        <v>340</v>
      </c>
      <c r="C152" s="16">
        <v>16.4</v>
      </c>
      <c r="D152" s="32"/>
      <c r="E152" s="23" t="s">
        <v>340</v>
      </c>
      <c r="F152" s="16">
        <v>2.0</v>
      </c>
      <c r="G152" s="33" t="s">
        <v>463</v>
      </c>
      <c r="H152" s="16" t="s">
        <v>289</v>
      </c>
      <c r="I152" s="16" t="s">
        <v>460</v>
      </c>
      <c r="J152" s="16">
        <v>224.5</v>
      </c>
      <c r="K152" s="34">
        <v>118.0</v>
      </c>
      <c r="L152" s="22">
        <v>29.0</v>
      </c>
      <c r="M152" s="22">
        <v>347.0</v>
      </c>
      <c r="N152" s="43">
        <f>+318</f>
        <v>318</v>
      </c>
      <c r="O152" s="16">
        <v>16.4</v>
      </c>
      <c r="P152" s="22">
        <v>3500.0</v>
      </c>
      <c r="Q152" s="22">
        <v>213.0</v>
      </c>
      <c r="R152" s="22"/>
      <c r="S152" s="22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A153" s="30" t="str">
        <f t="shared" si="1"/>
        <v>Shake Milton</v>
      </c>
      <c r="B153" s="23" t="s">
        <v>464</v>
      </c>
      <c r="C153" s="16">
        <v>16.4</v>
      </c>
      <c r="D153" s="32"/>
      <c r="E153" s="23" t="s">
        <v>464</v>
      </c>
      <c r="F153" s="16">
        <v>2.0</v>
      </c>
      <c r="G153" s="33" t="s">
        <v>465</v>
      </c>
      <c r="H153" s="16" t="s">
        <v>311</v>
      </c>
      <c r="I153" s="16" t="s">
        <v>445</v>
      </c>
      <c r="J153" s="16">
        <v>225.5</v>
      </c>
      <c r="K153" s="34">
        <v>117.0</v>
      </c>
      <c r="L153" s="22">
        <v>30.0</v>
      </c>
      <c r="M153" s="22">
        <v>161.0</v>
      </c>
      <c r="N153" s="43">
        <f>+131</f>
        <v>131</v>
      </c>
      <c r="O153" s="16">
        <v>16.4</v>
      </c>
      <c r="P153" s="22">
        <v>4100.0</v>
      </c>
      <c r="Q153" s="22">
        <v>251.0</v>
      </c>
      <c r="R153" s="22"/>
      <c r="S153" s="22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30" t="str">
        <f t="shared" si="1"/>
        <v>Gary Harris</v>
      </c>
      <c r="B154" s="23" t="s">
        <v>466</v>
      </c>
      <c r="C154" s="16">
        <v>16.3</v>
      </c>
      <c r="D154" s="32"/>
      <c r="E154" s="23" t="s">
        <v>466</v>
      </c>
      <c r="F154" s="16">
        <v>3.0</v>
      </c>
      <c r="G154" s="33" t="s">
        <v>422</v>
      </c>
      <c r="H154" s="16" t="s">
        <v>467</v>
      </c>
      <c r="I154" s="16" t="s">
        <v>423</v>
      </c>
      <c r="J154" s="16">
        <v>214.5</v>
      </c>
      <c r="K154" s="41">
        <v>102.5</v>
      </c>
      <c r="L154" s="22">
        <v>30.0</v>
      </c>
      <c r="M154" s="22">
        <v>360.0</v>
      </c>
      <c r="N154" s="43">
        <f>+330</f>
        <v>330</v>
      </c>
      <c r="O154" s="16">
        <v>16.3</v>
      </c>
      <c r="P154" s="22">
        <v>3500.0</v>
      </c>
      <c r="Q154" s="22">
        <v>214.0</v>
      </c>
      <c r="R154" s="22"/>
      <c r="S154" s="22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A155" s="30" t="str">
        <f t="shared" si="1"/>
        <v>Reggie Bullock</v>
      </c>
      <c r="B155" s="23" t="s">
        <v>468</v>
      </c>
      <c r="C155" s="16">
        <v>16.2</v>
      </c>
      <c r="D155" s="32"/>
      <c r="E155" s="23" t="s">
        <v>468</v>
      </c>
      <c r="F155" s="16">
        <v>2.0</v>
      </c>
      <c r="G155" s="33" t="s">
        <v>438</v>
      </c>
      <c r="H155" s="16" t="s">
        <v>337</v>
      </c>
      <c r="I155" s="16" t="s">
        <v>439</v>
      </c>
      <c r="J155" s="16">
        <v>219.5</v>
      </c>
      <c r="K155" s="16">
        <v>108.5</v>
      </c>
      <c r="L155" s="22">
        <v>31.0</v>
      </c>
      <c r="M155" s="22">
        <v>183.0</v>
      </c>
      <c r="N155" s="43">
        <f>+152</f>
        <v>152</v>
      </c>
      <c r="O155" s="16">
        <v>16.2</v>
      </c>
      <c r="P155" s="22">
        <v>4000.0</v>
      </c>
      <c r="Q155" s="22">
        <v>247.0</v>
      </c>
      <c r="R155" s="22"/>
      <c r="S155" s="22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A156" s="30" t="str">
        <f t="shared" si="1"/>
        <v>Jeremy Lamb</v>
      </c>
      <c r="B156" s="23" t="s">
        <v>469</v>
      </c>
      <c r="C156" s="16">
        <v>16.0</v>
      </c>
      <c r="D156" s="32"/>
      <c r="E156" s="23" t="s">
        <v>469</v>
      </c>
      <c r="F156" s="16">
        <v>1.0</v>
      </c>
      <c r="G156" s="33" t="s">
        <v>447</v>
      </c>
      <c r="H156" s="16" t="s">
        <v>453</v>
      </c>
      <c r="I156" s="16" t="s">
        <v>427</v>
      </c>
      <c r="J156" s="16">
        <v>234.0</v>
      </c>
      <c r="K156" s="34">
        <v>119.5</v>
      </c>
      <c r="L156" s="22">
        <v>32.0</v>
      </c>
      <c r="M156" s="22">
        <v>189.0</v>
      </c>
      <c r="N156" s="43">
        <f>+157</f>
        <v>157</v>
      </c>
      <c r="O156" s="16">
        <v>16.0</v>
      </c>
      <c r="P156" s="22">
        <v>3900.0</v>
      </c>
      <c r="Q156" s="22">
        <v>244.0</v>
      </c>
      <c r="R156" s="22"/>
      <c r="S156" s="22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30" t="str">
        <f t="shared" si="1"/>
        <v>Matisse Thybulle</v>
      </c>
      <c r="B157" s="23" t="s">
        <v>470</v>
      </c>
      <c r="C157" s="16">
        <v>15.9</v>
      </c>
      <c r="D157" s="32"/>
      <c r="E157" s="23" t="s">
        <v>470</v>
      </c>
      <c r="F157" s="16">
        <v>2.0</v>
      </c>
      <c r="G157" s="33" t="s">
        <v>465</v>
      </c>
      <c r="H157" s="16" t="s">
        <v>272</v>
      </c>
      <c r="I157" s="16" t="s">
        <v>445</v>
      </c>
      <c r="J157" s="16">
        <v>225.5</v>
      </c>
      <c r="K157" s="34">
        <v>117.0</v>
      </c>
      <c r="L157" s="22">
        <v>29.0</v>
      </c>
      <c r="M157" s="22">
        <v>206.0</v>
      </c>
      <c r="N157" s="43">
        <f>+177</f>
        <v>177</v>
      </c>
      <c r="O157" s="16">
        <v>15.9</v>
      </c>
      <c r="P157" s="22">
        <v>3700.0</v>
      </c>
      <c r="Q157" s="22">
        <v>232.0</v>
      </c>
      <c r="R157" s="22"/>
      <c r="S157" s="22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30" t="str">
        <f t="shared" si="1"/>
        <v>Killian Hayes</v>
      </c>
      <c r="B158" s="23" t="s">
        <v>471</v>
      </c>
      <c r="C158" s="16">
        <v>15.9</v>
      </c>
      <c r="D158" s="32"/>
      <c r="E158" s="23" t="s">
        <v>471</v>
      </c>
      <c r="F158" s="16">
        <v>4.0</v>
      </c>
      <c r="G158" s="33" t="s">
        <v>472</v>
      </c>
      <c r="H158" s="16" t="s">
        <v>254</v>
      </c>
      <c r="I158" s="16" t="s">
        <v>473</v>
      </c>
      <c r="J158" s="16">
        <v>216.5</v>
      </c>
      <c r="K158" s="39">
        <v>107.0</v>
      </c>
      <c r="L158" s="22">
        <v>31.0</v>
      </c>
      <c r="M158" s="22">
        <v>162.0</v>
      </c>
      <c r="N158" s="43">
        <f>+131</f>
        <v>131</v>
      </c>
      <c r="O158" s="16">
        <v>15.9</v>
      </c>
      <c r="P158" s="22">
        <v>4100.0</v>
      </c>
      <c r="Q158" s="22">
        <v>258.0</v>
      </c>
      <c r="R158" s="22"/>
      <c r="S158" s="22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A159" s="30" t="str">
        <f t="shared" si="1"/>
        <v>Willie Cauley-Stein</v>
      </c>
      <c r="B159" s="23" t="s">
        <v>474</v>
      </c>
      <c r="C159" s="16">
        <v>15.8</v>
      </c>
      <c r="D159" s="32"/>
      <c r="E159" s="23" t="s">
        <v>474</v>
      </c>
      <c r="F159" s="16">
        <v>2.0</v>
      </c>
      <c r="G159" s="33" t="s">
        <v>455</v>
      </c>
      <c r="H159" s="16" t="s">
        <v>289</v>
      </c>
      <c r="I159" s="16" t="s">
        <v>456</v>
      </c>
      <c r="J159" s="16">
        <v>225.5</v>
      </c>
      <c r="K159" s="34">
        <v>114.5</v>
      </c>
      <c r="L159" s="37">
        <v>26.0</v>
      </c>
      <c r="M159" s="22">
        <v>357.0</v>
      </c>
      <c r="N159" s="43">
        <f>+331</f>
        <v>331</v>
      </c>
      <c r="O159" s="16">
        <v>15.8</v>
      </c>
      <c r="P159" s="22">
        <v>3500.0</v>
      </c>
      <c r="Q159" s="22">
        <v>222.0</v>
      </c>
      <c r="R159" s="22"/>
      <c r="S159" s="22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A160" s="30" t="str">
        <f t="shared" si="1"/>
        <v>Jordan Poole</v>
      </c>
      <c r="B160" s="23" t="s">
        <v>329</v>
      </c>
      <c r="C160" s="16">
        <v>15.7</v>
      </c>
      <c r="D160" s="32"/>
      <c r="E160" s="23" t="s">
        <v>329</v>
      </c>
      <c r="F160" s="16">
        <v>2.0</v>
      </c>
      <c r="G160" s="33" t="s">
        <v>463</v>
      </c>
      <c r="H160" s="16" t="s">
        <v>289</v>
      </c>
      <c r="I160" s="16" t="s">
        <v>460</v>
      </c>
      <c r="J160" s="16">
        <v>224.5</v>
      </c>
      <c r="K160" s="34">
        <v>118.0</v>
      </c>
      <c r="L160" s="22">
        <v>32.0</v>
      </c>
      <c r="M160" s="22">
        <v>165.0</v>
      </c>
      <c r="N160" s="43">
        <f>+133</f>
        <v>133</v>
      </c>
      <c r="O160" s="16">
        <v>15.7</v>
      </c>
      <c r="P160" s="22">
        <v>4000.0</v>
      </c>
      <c r="Q160" s="22">
        <v>255.0</v>
      </c>
      <c r="R160" s="22"/>
      <c r="S160" s="22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A161" s="30" t="str">
        <f t="shared" si="1"/>
        <v>Juan Toscano-Anderson</v>
      </c>
      <c r="B161" s="23" t="s">
        <v>338</v>
      </c>
      <c r="C161" s="16">
        <v>15.7</v>
      </c>
      <c r="D161" s="32"/>
      <c r="E161" s="23" t="s">
        <v>338</v>
      </c>
      <c r="F161" s="16">
        <v>2.0</v>
      </c>
      <c r="G161" s="33" t="s">
        <v>463</v>
      </c>
      <c r="H161" s="16" t="s">
        <v>453</v>
      </c>
      <c r="I161" s="16" t="s">
        <v>460</v>
      </c>
      <c r="J161" s="16">
        <v>224.5</v>
      </c>
      <c r="K161" s="34">
        <v>118.0</v>
      </c>
      <c r="L161" s="22">
        <v>41.0</v>
      </c>
      <c r="M161" s="22">
        <v>359.0</v>
      </c>
      <c r="N161" s="43">
        <f>+318</f>
        <v>318</v>
      </c>
      <c r="O161" s="16">
        <v>15.7</v>
      </c>
      <c r="P161" s="22">
        <v>3500.0</v>
      </c>
      <c r="Q161" s="22">
        <v>223.0</v>
      </c>
      <c r="R161" s="22"/>
      <c r="S161" s="22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A162" s="30" t="str">
        <f t="shared" si="1"/>
        <v>Furkan Korkmaz</v>
      </c>
      <c r="B162" s="23" t="s">
        <v>475</v>
      </c>
      <c r="C162" s="16">
        <v>15.7</v>
      </c>
      <c r="D162" s="32"/>
      <c r="E162" s="23" t="s">
        <v>475</v>
      </c>
      <c r="F162" s="16">
        <v>2.0</v>
      </c>
      <c r="G162" s="33" t="s">
        <v>465</v>
      </c>
      <c r="H162" s="16" t="s">
        <v>318</v>
      </c>
      <c r="I162" s="16" t="s">
        <v>445</v>
      </c>
      <c r="J162" s="16">
        <v>225.5</v>
      </c>
      <c r="K162" s="34">
        <v>117.0</v>
      </c>
      <c r="L162" s="22">
        <v>33.0</v>
      </c>
      <c r="M162" s="22">
        <v>138.0</v>
      </c>
      <c r="N162" s="43">
        <f>+105</f>
        <v>105</v>
      </c>
      <c r="O162" s="16">
        <v>15.7</v>
      </c>
      <c r="P162" s="22">
        <v>4500.0</v>
      </c>
      <c r="Q162" s="22">
        <v>286.0</v>
      </c>
      <c r="R162" s="22"/>
      <c r="S162" s="22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30" t="str">
        <f t="shared" si="1"/>
        <v>Landry Shamet</v>
      </c>
      <c r="B163" s="23" t="s">
        <v>476</v>
      </c>
      <c r="C163" s="16">
        <v>15.6</v>
      </c>
      <c r="D163" s="32"/>
      <c r="E163" s="23" t="s">
        <v>476</v>
      </c>
      <c r="F163" s="16">
        <v>1.0</v>
      </c>
      <c r="G163" s="33" t="s">
        <v>444</v>
      </c>
      <c r="H163" s="16" t="s">
        <v>277</v>
      </c>
      <c r="I163" s="16" t="s">
        <v>445</v>
      </c>
      <c r="J163" s="16">
        <v>225.5</v>
      </c>
      <c r="K163" s="16">
        <v>108.5</v>
      </c>
      <c r="L163" s="22">
        <v>34.0</v>
      </c>
      <c r="M163" s="22">
        <v>203.0</v>
      </c>
      <c r="N163" s="43">
        <f>+169</f>
        <v>169</v>
      </c>
      <c r="O163" s="16">
        <v>15.6</v>
      </c>
      <c r="P163" s="22">
        <v>3700.0</v>
      </c>
      <c r="Q163" s="22">
        <v>237.0</v>
      </c>
      <c r="R163" s="22"/>
      <c r="S163" s="22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30" t="str">
        <f t="shared" si="1"/>
        <v>Facundo Campazzo</v>
      </c>
      <c r="B164" s="23" t="s">
        <v>477</v>
      </c>
      <c r="C164" s="16">
        <v>15.5</v>
      </c>
      <c r="D164" s="32"/>
      <c r="E164" s="23" t="s">
        <v>477</v>
      </c>
      <c r="F164" s="16">
        <v>2.0</v>
      </c>
      <c r="G164" s="33" t="s">
        <v>478</v>
      </c>
      <c r="H164" s="16" t="s">
        <v>262</v>
      </c>
      <c r="I164" s="16" t="s">
        <v>450</v>
      </c>
      <c r="J164" s="16">
        <v>209.0</v>
      </c>
      <c r="K164" s="39">
        <v>107.5</v>
      </c>
      <c r="L164" s="22">
        <v>33.0</v>
      </c>
      <c r="M164" s="22">
        <v>132.0</v>
      </c>
      <c r="N164" s="43">
        <f>+99</f>
        <v>99</v>
      </c>
      <c r="O164" s="16">
        <v>15.5</v>
      </c>
      <c r="P164" s="22">
        <v>4600.0</v>
      </c>
      <c r="Q164" s="22">
        <v>297.0</v>
      </c>
      <c r="R164" s="22"/>
      <c r="S164" s="22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A165" s="30" t="str">
        <f t="shared" si="1"/>
        <v>Timothe Luwawu-Cabarrot</v>
      </c>
      <c r="B165" s="23" t="s">
        <v>479</v>
      </c>
      <c r="C165" s="16">
        <v>15.2</v>
      </c>
      <c r="D165" s="32"/>
      <c r="E165" s="23" t="s">
        <v>479</v>
      </c>
      <c r="F165" s="16">
        <v>1.0</v>
      </c>
      <c r="G165" s="33" t="s">
        <v>444</v>
      </c>
      <c r="H165" s="16" t="s">
        <v>298</v>
      </c>
      <c r="I165" s="16" t="s">
        <v>445</v>
      </c>
      <c r="J165" s="16">
        <v>225.5</v>
      </c>
      <c r="K165" s="16">
        <v>108.5</v>
      </c>
      <c r="L165" s="22">
        <v>30.0</v>
      </c>
      <c r="M165" s="22">
        <v>230.0</v>
      </c>
      <c r="N165" s="43">
        <f>+200</f>
        <v>200</v>
      </c>
      <c r="O165" s="16">
        <v>15.2</v>
      </c>
      <c r="P165" s="22">
        <v>3500.0</v>
      </c>
      <c r="Q165" s="22">
        <v>231.0</v>
      </c>
      <c r="R165" s="22"/>
      <c r="S165" s="22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A166" s="30" t="str">
        <f t="shared" si="1"/>
        <v>Kenrich Williams</v>
      </c>
      <c r="B166" s="23" t="s">
        <v>480</v>
      </c>
      <c r="C166" s="16">
        <v>15.2</v>
      </c>
      <c r="D166" s="32"/>
      <c r="E166" s="23" t="s">
        <v>480</v>
      </c>
      <c r="F166" s="16">
        <v>1.0</v>
      </c>
      <c r="G166" s="33" t="s">
        <v>459</v>
      </c>
      <c r="H166" s="16" t="s">
        <v>291</v>
      </c>
      <c r="I166" s="16" t="s">
        <v>460</v>
      </c>
      <c r="J166" s="16">
        <v>224.5</v>
      </c>
      <c r="K166" s="39">
        <v>106.5</v>
      </c>
      <c r="L166" s="22">
        <v>31.0</v>
      </c>
      <c r="M166" s="22">
        <v>96.0</v>
      </c>
      <c r="N166" s="44">
        <f>+65</f>
        <v>65</v>
      </c>
      <c r="O166" s="16">
        <v>15.2</v>
      </c>
      <c r="P166" s="22">
        <v>5300.0</v>
      </c>
      <c r="Q166" s="22">
        <v>349.0</v>
      </c>
      <c r="R166" s="22"/>
      <c r="S166" s="22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A167" s="30" t="str">
        <f t="shared" si="1"/>
        <v>Rajon Rondo</v>
      </c>
      <c r="B167" s="23" t="s">
        <v>481</v>
      </c>
      <c r="C167" s="16">
        <v>15.1</v>
      </c>
      <c r="D167" s="32"/>
      <c r="E167" s="23" t="s">
        <v>481</v>
      </c>
      <c r="F167" s="16">
        <v>1.0</v>
      </c>
      <c r="G167" s="33" t="s">
        <v>482</v>
      </c>
      <c r="H167" s="16" t="s">
        <v>300</v>
      </c>
      <c r="I167" s="16" t="s">
        <v>473</v>
      </c>
      <c r="J167" s="16">
        <v>216.5</v>
      </c>
      <c r="K167" s="16">
        <v>110.0</v>
      </c>
      <c r="L167" s="22">
        <v>34.0</v>
      </c>
      <c r="M167" s="22">
        <v>208.0</v>
      </c>
      <c r="N167" s="43">
        <f>+174</f>
        <v>174</v>
      </c>
      <c r="O167" s="16">
        <v>15.1</v>
      </c>
      <c r="P167" s="22">
        <v>3700.0</v>
      </c>
      <c r="Q167" s="22">
        <v>246.0</v>
      </c>
      <c r="R167" s="22"/>
      <c r="S167" s="22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A168" s="30" t="str">
        <f t="shared" si="1"/>
        <v>Caleb Martin</v>
      </c>
      <c r="B168" s="23" t="s">
        <v>483</v>
      </c>
      <c r="C168" s="16">
        <v>15.0</v>
      </c>
      <c r="E168" s="23" t="s">
        <v>483</v>
      </c>
      <c r="F168" s="16">
        <v>1.0</v>
      </c>
      <c r="G168" s="33" t="s">
        <v>484</v>
      </c>
      <c r="H168" s="16" t="s">
        <v>254</v>
      </c>
      <c r="I168" s="16" t="s">
        <v>433</v>
      </c>
      <c r="J168" s="16">
        <v>212.5</v>
      </c>
      <c r="K168" s="39">
        <v>108.0</v>
      </c>
      <c r="L168" s="22">
        <v>32.0</v>
      </c>
      <c r="M168" s="22">
        <v>331.0</v>
      </c>
      <c r="N168" s="47">
        <f>+299</f>
        <v>299</v>
      </c>
      <c r="O168" s="16">
        <v>15.0</v>
      </c>
      <c r="P168" s="22">
        <v>3500.0</v>
      </c>
      <c r="Q168" s="22">
        <v>233.0</v>
      </c>
      <c r="R168" s="22"/>
      <c r="S168" s="22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A169" s="30" t="str">
        <f t="shared" si="1"/>
        <v>Andre Iguodala</v>
      </c>
      <c r="B169" s="23" t="s">
        <v>485</v>
      </c>
      <c r="C169" s="16">
        <v>14.9</v>
      </c>
      <c r="E169" s="23" t="s">
        <v>485</v>
      </c>
      <c r="F169" s="16">
        <v>1.0</v>
      </c>
      <c r="G169" s="33" t="s">
        <v>449</v>
      </c>
      <c r="H169" s="16" t="s">
        <v>486</v>
      </c>
      <c r="I169" s="16" t="s">
        <v>450</v>
      </c>
      <c r="J169" s="16">
        <v>209.0</v>
      </c>
      <c r="K169" s="41">
        <v>101.5</v>
      </c>
      <c r="L169" s="22">
        <v>33.0</v>
      </c>
      <c r="M169" s="22">
        <v>238.0</v>
      </c>
      <c r="N169" s="47">
        <f>+205</f>
        <v>205</v>
      </c>
      <c r="O169" s="16">
        <v>14.9</v>
      </c>
      <c r="P169" s="22">
        <v>3500.0</v>
      </c>
      <c r="Q169" s="22">
        <v>235.0</v>
      </c>
      <c r="R169" s="22"/>
      <c r="S169" s="22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30" t="str">
        <f t="shared" si="1"/>
        <v>Desmond Bane</v>
      </c>
      <c r="B170" s="23" t="s">
        <v>487</v>
      </c>
      <c r="C170" s="16">
        <v>14.7</v>
      </c>
      <c r="E170" s="23" t="s">
        <v>487</v>
      </c>
      <c r="F170" s="16">
        <v>2.0</v>
      </c>
      <c r="G170" s="33" t="s">
        <v>488</v>
      </c>
      <c r="H170" s="16" t="s">
        <v>281</v>
      </c>
      <c r="I170" s="16" t="s">
        <v>456</v>
      </c>
      <c r="J170" s="16">
        <v>225.5</v>
      </c>
      <c r="K170" s="16">
        <v>111.5</v>
      </c>
      <c r="L170" s="22">
        <v>36.0</v>
      </c>
      <c r="M170" s="22">
        <v>179.0</v>
      </c>
      <c r="N170" s="47">
        <f>+143</f>
        <v>143</v>
      </c>
      <c r="O170" s="16">
        <v>14.7</v>
      </c>
      <c r="P170" s="22">
        <v>4000.0</v>
      </c>
      <c r="Q170" s="22">
        <v>273.0</v>
      </c>
      <c r="R170" s="22"/>
      <c r="S170" s="22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30" t="str">
        <f t="shared" si="1"/>
        <v>Immanuel Quickley</v>
      </c>
      <c r="B171" s="23" t="s">
        <v>489</v>
      </c>
      <c r="C171" s="16">
        <v>14.7</v>
      </c>
      <c r="E171" s="23" t="s">
        <v>489</v>
      </c>
      <c r="F171" s="16">
        <v>2.0</v>
      </c>
      <c r="G171" s="33" t="s">
        <v>438</v>
      </c>
      <c r="H171" s="16" t="s">
        <v>337</v>
      </c>
      <c r="I171" s="16" t="s">
        <v>439</v>
      </c>
      <c r="J171" s="16">
        <v>219.5</v>
      </c>
      <c r="K171" s="16">
        <v>108.5</v>
      </c>
      <c r="L171" s="22">
        <v>35.0</v>
      </c>
      <c r="M171" s="22">
        <v>173.0</v>
      </c>
      <c r="N171" s="47">
        <f>+138</f>
        <v>138</v>
      </c>
      <c r="O171" s="16">
        <v>14.7</v>
      </c>
      <c r="P171" s="22">
        <v>4000.0</v>
      </c>
      <c r="Q171" s="22">
        <v>273.0</v>
      </c>
      <c r="R171" s="22"/>
      <c r="S171" s="22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30" t="str">
        <f t="shared" si="1"/>
        <v>PJ Dozier</v>
      </c>
      <c r="B172" s="23" t="s">
        <v>490</v>
      </c>
      <c r="C172" s="16">
        <v>14.6</v>
      </c>
      <c r="E172" s="23" t="s">
        <v>490</v>
      </c>
      <c r="F172" s="16">
        <v>2.0</v>
      </c>
      <c r="G172" s="33" t="s">
        <v>478</v>
      </c>
      <c r="H172" s="16" t="s">
        <v>270</v>
      </c>
      <c r="I172" s="16" t="s">
        <v>450</v>
      </c>
      <c r="J172" s="16">
        <v>209.0</v>
      </c>
      <c r="K172" s="39">
        <v>107.5</v>
      </c>
      <c r="L172" s="22">
        <v>37.0</v>
      </c>
      <c r="M172" s="22">
        <v>217.0</v>
      </c>
      <c r="N172" s="47">
        <f>+180</f>
        <v>180</v>
      </c>
      <c r="O172" s="16">
        <v>14.6</v>
      </c>
      <c r="P172" s="22">
        <v>3600.0</v>
      </c>
      <c r="Q172" s="22">
        <v>247.0</v>
      </c>
      <c r="R172" s="22"/>
      <c r="S172" s="22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30" t="str">
        <f t="shared" si="1"/>
        <v>Mike Muscala</v>
      </c>
      <c r="B173" s="23" t="s">
        <v>491</v>
      </c>
      <c r="C173" s="16">
        <v>14.5</v>
      </c>
      <c r="E173" s="23" t="s">
        <v>491</v>
      </c>
      <c r="F173" s="16">
        <v>31.0</v>
      </c>
      <c r="G173" s="33" t="s">
        <v>459</v>
      </c>
      <c r="H173" s="16" t="s">
        <v>486</v>
      </c>
      <c r="I173" s="16" t="s">
        <v>460</v>
      </c>
      <c r="J173" s="16">
        <v>224.5</v>
      </c>
      <c r="K173" s="39">
        <v>106.5</v>
      </c>
      <c r="L173" s="22">
        <v>27.0</v>
      </c>
      <c r="M173" s="22">
        <v>346.0</v>
      </c>
      <c r="N173" s="47">
        <f>+319</f>
        <v>319</v>
      </c>
      <c r="O173" s="16">
        <v>14.5</v>
      </c>
      <c r="P173" s="22">
        <v>3500.0</v>
      </c>
      <c r="Q173" s="22">
        <v>242.0</v>
      </c>
      <c r="R173" s="22"/>
      <c r="S173" s="22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30" t="str">
        <f t="shared" si="1"/>
        <v>Paul Millsap</v>
      </c>
      <c r="B174" s="23" t="s">
        <v>492</v>
      </c>
      <c r="C174" s="16">
        <v>14.5</v>
      </c>
      <c r="E174" s="23" t="s">
        <v>492</v>
      </c>
      <c r="F174" s="16">
        <v>3.0</v>
      </c>
      <c r="G174" s="33" t="s">
        <v>478</v>
      </c>
      <c r="H174" s="16" t="s">
        <v>318</v>
      </c>
      <c r="I174" s="16" t="s">
        <v>450</v>
      </c>
      <c r="J174" s="16">
        <v>209.0</v>
      </c>
      <c r="K174" s="39">
        <v>107.5</v>
      </c>
      <c r="L174" s="22">
        <v>42.0</v>
      </c>
      <c r="M174" s="22">
        <v>196.0</v>
      </c>
      <c r="N174" s="47">
        <f>+154</f>
        <v>154</v>
      </c>
      <c r="O174" s="16">
        <v>14.5</v>
      </c>
      <c r="P174" s="22">
        <v>3800.0</v>
      </c>
      <c r="Q174" s="22">
        <v>262.0</v>
      </c>
      <c r="R174" s="22"/>
      <c r="S174" s="22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30" t="str">
        <f t="shared" si="1"/>
        <v>Dwayne Bacon</v>
      </c>
      <c r="B175" s="23" t="s">
        <v>493</v>
      </c>
      <c r="C175" s="16">
        <v>14.4</v>
      </c>
      <c r="E175" s="23" t="s">
        <v>493</v>
      </c>
      <c r="F175" s="16">
        <v>2.0</v>
      </c>
      <c r="G175" s="33" t="s">
        <v>422</v>
      </c>
      <c r="H175" s="16" t="s">
        <v>467</v>
      </c>
      <c r="I175" s="16" t="s">
        <v>423</v>
      </c>
      <c r="J175" s="16">
        <v>214.5</v>
      </c>
      <c r="K175" s="41">
        <v>102.5</v>
      </c>
      <c r="L175" s="22">
        <v>38.0</v>
      </c>
      <c r="M175" s="22">
        <v>205.0</v>
      </c>
      <c r="N175" s="47">
        <f>+167</f>
        <v>167</v>
      </c>
      <c r="O175" s="16">
        <v>14.4</v>
      </c>
      <c r="P175" s="22">
        <v>3700.0</v>
      </c>
      <c r="Q175" s="22">
        <v>257.0</v>
      </c>
      <c r="R175" s="22"/>
      <c r="S175" s="22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30" t="str">
        <f t="shared" si="1"/>
        <v>Brad Wanamaker</v>
      </c>
      <c r="B176" s="23" t="s">
        <v>494</v>
      </c>
      <c r="C176" s="16">
        <v>14.2</v>
      </c>
      <c r="E176" s="23" t="s">
        <v>494</v>
      </c>
      <c r="F176" s="16">
        <v>1.0</v>
      </c>
      <c r="G176" s="33" t="s">
        <v>484</v>
      </c>
      <c r="H176" s="16" t="s">
        <v>295</v>
      </c>
      <c r="I176" s="16" t="s">
        <v>433</v>
      </c>
      <c r="J176" s="16">
        <v>212.5</v>
      </c>
      <c r="K176" s="39">
        <v>108.0</v>
      </c>
      <c r="L176" s="22">
        <v>35.0</v>
      </c>
      <c r="M176" s="22">
        <v>136.0</v>
      </c>
      <c r="N176" s="47">
        <f>+101</f>
        <v>101</v>
      </c>
      <c r="O176" s="16">
        <v>14.2</v>
      </c>
      <c r="P176" s="22">
        <v>4500.0</v>
      </c>
      <c r="Q176" s="22">
        <v>318.0</v>
      </c>
      <c r="R176" s="22"/>
      <c r="S176" s="22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30" t="str">
        <f t="shared" si="1"/>
        <v>RJ Hampton</v>
      </c>
      <c r="B177" s="23" t="s">
        <v>495</v>
      </c>
      <c r="C177" s="16">
        <v>13.7</v>
      </c>
      <c r="E177" s="23" t="s">
        <v>495</v>
      </c>
      <c r="F177" s="16">
        <v>2.0</v>
      </c>
      <c r="G177" s="33" t="s">
        <v>422</v>
      </c>
      <c r="H177" s="16" t="s">
        <v>337</v>
      </c>
      <c r="I177" s="16" t="s">
        <v>423</v>
      </c>
      <c r="J177" s="16">
        <v>214.5</v>
      </c>
      <c r="K177" s="41">
        <v>102.5</v>
      </c>
      <c r="L177" s="22">
        <v>36.0</v>
      </c>
      <c r="M177" s="22">
        <v>174.0</v>
      </c>
      <c r="N177" s="47">
        <f>+138</f>
        <v>138</v>
      </c>
      <c r="O177" s="16">
        <v>13.7</v>
      </c>
      <c r="P177" s="22">
        <v>4000.0</v>
      </c>
      <c r="Q177" s="22">
        <v>292.0</v>
      </c>
      <c r="R177" s="22"/>
      <c r="S177" s="22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30" t="str">
        <f t="shared" si="1"/>
        <v>Doug McDermott</v>
      </c>
      <c r="B178" s="23" t="s">
        <v>496</v>
      </c>
      <c r="C178" s="16">
        <v>13.6</v>
      </c>
      <c r="E178" s="23" t="s">
        <v>496</v>
      </c>
      <c r="F178" s="16">
        <v>1.0</v>
      </c>
      <c r="G178" s="33" t="s">
        <v>447</v>
      </c>
      <c r="H178" s="16" t="s">
        <v>291</v>
      </c>
      <c r="I178" s="16" t="s">
        <v>427</v>
      </c>
      <c r="J178" s="16">
        <v>234.0</v>
      </c>
      <c r="K178" s="34">
        <v>119.5</v>
      </c>
      <c r="L178" s="22">
        <v>43.0</v>
      </c>
      <c r="M178" s="22">
        <v>188.0</v>
      </c>
      <c r="N178" s="47">
        <f>+145</f>
        <v>145</v>
      </c>
      <c r="O178" s="16">
        <v>13.6</v>
      </c>
      <c r="P178" s="22">
        <v>3900.0</v>
      </c>
      <c r="Q178" s="22">
        <v>288.0</v>
      </c>
      <c r="R178" s="22"/>
      <c r="S178" s="22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30" t="str">
        <f t="shared" si="1"/>
        <v>Naji Marshall</v>
      </c>
      <c r="B179" s="23" t="s">
        <v>497</v>
      </c>
      <c r="C179" s="16">
        <v>13.1</v>
      </c>
      <c r="E179" s="23" t="s">
        <v>497</v>
      </c>
      <c r="F179" s="16">
        <v>2.0</v>
      </c>
      <c r="G179" s="33" t="s">
        <v>452</v>
      </c>
      <c r="H179" s="16" t="s">
        <v>295</v>
      </c>
      <c r="I179" s="16" t="s">
        <v>439</v>
      </c>
      <c r="J179" s="16">
        <v>219.5</v>
      </c>
      <c r="K179" s="16">
        <v>111.5</v>
      </c>
      <c r="L179" s="22">
        <v>34.0</v>
      </c>
      <c r="M179" s="22">
        <v>181.0</v>
      </c>
      <c r="N179" s="47">
        <f>+147</f>
        <v>147</v>
      </c>
      <c r="O179" s="16">
        <v>13.1</v>
      </c>
      <c r="P179" s="22">
        <v>4000.0</v>
      </c>
      <c r="Q179" s="22">
        <v>305.0</v>
      </c>
      <c r="R179" s="22"/>
      <c r="S179" s="22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30" t="str">
        <f t="shared" si="1"/>
        <v>Tyus Jones</v>
      </c>
      <c r="B180" s="23" t="s">
        <v>498</v>
      </c>
      <c r="C180" s="16">
        <v>13.0</v>
      </c>
      <c r="E180" s="23" t="s">
        <v>498</v>
      </c>
      <c r="F180" s="16">
        <v>2.0</v>
      </c>
      <c r="G180" s="33" t="s">
        <v>488</v>
      </c>
      <c r="H180" s="16" t="s">
        <v>308</v>
      </c>
      <c r="I180" s="16" t="s">
        <v>456</v>
      </c>
      <c r="J180" s="16">
        <v>225.5</v>
      </c>
      <c r="K180" s="16">
        <v>111.5</v>
      </c>
      <c r="L180" s="22">
        <v>37.0</v>
      </c>
      <c r="M180" s="22">
        <v>218.0</v>
      </c>
      <c r="N180" s="47">
        <f>+181</f>
        <v>181</v>
      </c>
      <c r="O180" s="16">
        <v>13.0</v>
      </c>
      <c r="P180" s="22">
        <v>3600.0</v>
      </c>
      <c r="Q180" s="22">
        <v>278.0</v>
      </c>
      <c r="R180" s="22"/>
      <c r="S180" s="22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30" t="str">
        <f t="shared" si="1"/>
        <v>Patrick Patterson</v>
      </c>
      <c r="B181" s="23" t="s">
        <v>499</v>
      </c>
      <c r="C181" s="16">
        <v>12.8</v>
      </c>
      <c r="E181" s="23" t="s">
        <v>499</v>
      </c>
      <c r="F181" s="16">
        <v>1.0</v>
      </c>
      <c r="G181" s="33" t="s">
        <v>482</v>
      </c>
      <c r="H181" s="16" t="s">
        <v>486</v>
      </c>
      <c r="I181" s="16" t="s">
        <v>473</v>
      </c>
      <c r="J181" s="16">
        <v>216.5</v>
      </c>
      <c r="K181" s="16">
        <v>110.0</v>
      </c>
      <c r="L181" s="22">
        <v>44.0</v>
      </c>
      <c r="M181" s="22">
        <v>350.0</v>
      </c>
      <c r="N181" s="47">
        <f>+306</f>
        <v>306</v>
      </c>
      <c r="O181" s="16">
        <v>12.8</v>
      </c>
      <c r="P181" s="22">
        <v>3500.0</v>
      </c>
      <c r="Q181" s="22">
        <v>273.0</v>
      </c>
      <c r="R181" s="22"/>
      <c r="S181" s="22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30" t="str">
        <f t="shared" si="1"/>
        <v>Avery Bradley</v>
      </c>
      <c r="B182" s="23" t="s">
        <v>500</v>
      </c>
      <c r="C182" s="16">
        <v>12.5</v>
      </c>
      <c r="E182" s="23" t="s">
        <v>500</v>
      </c>
      <c r="F182" s="16">
        <v>2.0</v>
      </c>
      <c r="G182" s="33" t="s">
        <v>425</v>
      </c>
      <c r="H182" s="16" t="s">
        <v>308</v>
      </c>
      <c r="I182" s="16" t="s">
        <v>427</v>
      </c>
      <c r="J182" s="16">
        <v>234.0</v>
      </c>
      <c r="K182" s="34">
        <v>115.0</v>
      </c>
      <c r="L182" s="22">
        <v>39.0</v>
      </c>
      <c r="M182" s="22">
        <v>351.0</v>
      </c>
      <c r="N182" s="47">
        <f>+312</f>
        <v>312</v>
      </c>
      <c r="O182" s="16">
        <v>12.5</v>
      </c>
      <c r="P182" s="22">
        <v>3500.0</v>
      </c>
      <c r="Q182" s="22">
        <v>280.0</v>
      </c>
      <c r="R182" s="22"/>
      <c r="S182" s="22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30" t="str">
        <f t="shared" si="1"/>
        <v>Matthew Dellavedova</v>
      </c>
      <c r="B183" s="23" t="s">
        <v>347</v>
      </c>
      <c r="C183" s="16">
        <v>12.4</v>
      </c>
      <c r="E183" s="23" t="s">
        <v>347</v>
      </c>
      <c r="F183" s="16">
        <v>3.0</v>
      </c>
      <c r="G183" s="33" t="s">
        <v>432</v>
      </c>
      <c r="H183" s="16" t="s">
        <v>318</v>
      </c>
      <c r="I183" s="16" t="s">
        <v>433</v>
      </c>
      <c r="J183" s="16">
        <v>212.5</v>
      </c>
      <c r="K183" s="39">
        <v>104.5</v>
      </c>
      <c r="L183" s="22">
        <v>38.0</v>
      </c>
      <c r="M183" s="22">
        <v>220.0</v>
      </c>
      <c r="N183" s="47">
        <f>+182</f>
        <v>182</v>
      </c>
      <c r="O183" s="16">
        <v>12.4</v>
      </c>
      <c r="P183" s="22">
        <v>3600.0</v>
      </c>
      <c r="Q183" s="22">
        <v>290.0</v>
      </c>
      <c r="R183" s="22"/>
      <c r="S183" s="22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30" t="str">
        <f t="shared" si="1"/>
        <v>Raul Neto</v>
      </c>
      <c r="B184" s="23" t="s">
        <v>501</v>
      </c>
      <c r="C184" s="16">
        <v>12.4</v>
      </c>
      <c r="E184" s="23" t="s">
        <v>501</v>
      </c>
      <c r="F184" s="16">
        <v>2.0</v>
      </c>
      <c r="G184" s="33" t="s">
        <v>462</v>
      </c>
      <c r="H184" s="16" t="s">
        <v>277</v>
      </c>
      <c r="I184" s="16" t="s">
        <v>431</v>
      </c>
      <c r="J184" s="16">
        <v>242.0</v>
      </c>
      <c r="K184" s="31">
        <v>122.5</v>
      </c>
      <c r="L184" s="22">
        <v>39.0</v>
      </c>
      <c r="M184" s="22">
        <v>363.0</v>
      </c>
      <c r="N184" s="47">
        <f>+324</f>
        <v>324</v>
      </c>
      <c r="O184" s="16">
        <v>12.4</v>
      </c>
      <c r="P184" s="22">
        <v>3500.0</v>
      </c>
      <c r="Q184" s="22">
        <v>283.0</v>
      </c>
      <c r="R184" s="22"/>
      <c r="S184" s="22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30" t="str">
        <f t="shared" si="1"/>
        <v>Nico Mannion</v>
      </c>
      <c r="B185" s="23" t="s">
        <v>361</v>
      </c>
      <c r="C185" s="16">
        <v>12.3</v>
      </c>
      <c r="E185" s="23" t="s">
        <v>361</v>
      </c>
      <c r="F185" s="16">
        <v>2.0</v>
      </c>
      <c r="G185" s="33" t="s">
        <v>463</v>
      </c>
      <c r="H185" s="16" t="s">
        <v>289</v>
      </c>
      <c r="I185" s="16" t="s">
        <v>460</v>
      </c>
      <c r="J185" s="16">
        <v>224.5</v>
      </c>
      <c r="K185" s="34">
        <v>118.0</v>
      </c>
      <c r="L185" s="22">
        <v>40.0</v>
      </c>
      <c r="M185" s="22">
        <v>308.0</v>
      </c>
      <c r="N185" s="47">
        <f>+268</f>
        <v>268</v>
      </c>
      <c r="O185" s="16">
        <v>12.3</v>
      </c>
      <c r="P185" s="22">
        <v>3500.0</v>
      </c>
      <c r="Q185" s="22">
        <v>285.0</v>
      </c>
      <c r="R185" s="22"/>
      <c r="S185" s="22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30" t="str">
        <f t="shared" si="1"/>
        <v>Terence Davis</v>
      </c>
      <c r="B186" s="23" t="s">
        <v>351</v>
      </c>
      <c r="C186" s="16">
        <v>12.1</v>
      </c>
      <c r="E186" s="23" t="s">
        <v>351</v>
      </c>
      <c r="F186" s="16">
        <v>2.0</v>
      </c>
      <c r="G186" s="33" t="s">
        <v>429</v>
      </c>
      <c r="H186" s="16" t="s">
        <v>486</v>
      </c>
      <c r="I186" s="16" t="s">
        <v>431</v>
      </c>
      <c r="J186" s="16">
        <v>242.0</v>
      </c>
      <c r="K186" s="31">
        <v>120.0</v>
      </c>
      <c r="L186" s="22">
        <v>40.0</v>
      </c>
      <c r="M186" s="22">
        <v>325.0</v>
      </c>
      <c r="N186" s="47">
        <f>+285</f>
        <v>285</v>
      </c>
      <c r="O186" s="16">
        <v>12.1</v>
      </c>
      <c r="P186" s="22">
        <v>3500.0</v>
      </c>
      <c r="Q186" s="22">
        <v>290.0</v>
      </c>
      <c r="R186" s="22"/>
      <c r="S186" s="22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30" t="str">
        <f t="shared" si="1"/>
        <v>Precious Achiuwa</v>
      </c>
      <c r="B187" s="23" t="s">
        <v>502</v>
      </c>
      <c r="C187" s="16">
        <v>11.3</v>
      </c>
      <c r="E187" s="23" t="s">
        <v>502</v>
      </c>
      <c r="F187" s="16">
        <v>1.0</v>
      </c>
      <c r="G187" s="33" t="s">
        <v>449</v>
      </c>
      <c r="H187" s="16" t="s">
        <v>430</v>
      </c>
      <c r="I187" s="16" t="s">
        <v>450</v>
      </c>
      <c r="J187" s="16">
        <v>209.0</v>
      </c>
      <c r="K187" s="41">
        <v>101.5</v>
      </c>
      <c r="L187" s="22">
        <v>45.0</v>
      </c>
      <c r="M187" s="22">
        <v>307.0</v>
      </c>
      <c r="N187" s="47">
        <f>+262</f>
        <v>262</v>
      </c>
      <c r="O187" s="16">
        <v>11.3</v>
      </c>
      <c r="P187" s="22">
        <v>3500.0</v>
      </c>
      <c r="Q187" s="22">
        <v>310.0</v>
      </c>
      <c r="R187" s="22"/>
      <c r="S187" s="22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30" t="str">
        <f t="shared" si="1"/>
        <v>JaMychal Green</v>
      </c>
      <c r="B188" s="23" t="s">
        <v>503</v>
      </c>
      <c r="C188" s="16">
        <v>11.3</v>
      </c>
      <c r="E188" s="23" t="s">
        <v>503</v>
      </c>
      <c r="F188" s="16">
        <v>2.0</v>
      </c>
      <c r="G188" s="33" t="s">
        <v>478</v>
      </c>
      <c r="H188" s="16" t="s">
        <v>318</v>
      </c>
      <c r="I188" s="16" t="s">
        <v>450</v>
      </c>
      <c r="J188" s="16">
        <v>209.0</v>
      </c>
      <c r="K188" s="39">
        <v>107.5</v>
      </c>
      <c r="L188" s="22">
        <v>46.0</v>
      </c>
      <c r="M188" s="22">
        <v>268.0</v>
      </c>
      <c r="N188" s="47">
        <f>+222</f>
        <v>222</v>
      </c>
      <c r="O188" s="16">
        <v>11.3</v>
      </c>
      <c r="P188" s="22">
        <v>3500.0</v>
      </c>
      <c r="Q188" s="22">
        <v>311.0</v>
      </c>
      <c r="R188" s="22"/>
      <c r="S188" s="22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30" t="str">
        <f t="shared" si="1"/>
        <v>Alex Len</v>
      </c>
      <c r="B189" s="23" t="s">
        <v>504</v>
      </c>
      <c r="C189" s="16">
        <v>11.2</v>
      </c>
      <c r="E189" s="23" t="s">
        <v>504</v>
      </c>
      <c r="F189" s="16">
        <v>2.0</v>
      </c>
      <c r="G189" s="33" t="s">
        <v>462</v>
      </c>
      <c r="H189" s="16" t="s">
        <v>430</v>
      </c>
      <c r="I189" s="16" t="s">
        <v>431</v>
      </c>
      <c r="J189" s="16">
        <v>242.0</v>
      </c>
      <c r="K189" s="31">
        <v>122.5</v>
      </c>
      <c r="L189" s="22">
        <v>28.0</v>
      </c>
      <c r="M189" s="22">
        <v>282.0</v>
      </c>
      <c r="N189" s="47">
        <f>+254</f>
        <v>254</v>
      </c>
      <c r="O189" s="16">
        <v>11.2</v>
      </c>
      <c r="P189" s="22">
        <v>3500.0</v>
      </c>
      <c r="Q189" s="22">
        <v>313.0</v>
      </c>
      <c r="R189" s="22"/>
      <c r="S189" s="22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30" t="str">
        <f t="shared" si="1"/>
        <v>Edmond Sumner</v>
      </c>
      <c r="B190" s="23" t="s">
        <v>505</v>
      </c>
      <c r="C190" s="16">
        <v>11.0</v>
      </c>
      <c r="E190" s="23" t="s">
        <v>505</v>
      </c>
      <c r="F190" s="16">
        <v>1.0</v>
      </c>
      <c r="G190" s="33" t="s">
        <v>447</v>
      </c>
      <c r="H190" s="16" t="s">
        <v>426</v>
      </c>
      <c r="I190" s="16" t="s">
        <v>427</v>
      </c>
      <c r="J190" s="16">
        <v>234.0</v>
      </c>
      <c r="K190" s="34">
        <v>119.5</v>
      </c>
      <c r="L190" s="22">
        <v>41.0</v>
      </c>
      <c r="M190" s="22">
        <v>215.0</v>
      </c>
      <c r="N190" s="47">
        <f>+174</f>
        <v>174</v>
      </c>
      <c r="O190" s="16">
        <v>11.0</v>
      </c>
      <c r="P190" s="22">
        <v>3600.0</v>
      </c>
      <c r="Q190" s="22">
        <v>328.0</v>
      </c>
      <c r="R190" s="22"/>
      <c r="S190" s="22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30" t="str">
        <f t="shared" si="1"/>
        <v>Xavier Tillman</v>
      </c>
      <c r="B191" s="23" t="s">
        <v>506</v>
      </c>
      <c r="C191" s="16">
        <v>10.9</v>
      </c>
      <c r="E191" s="23" t="s">
        <v>506</v>
      </c>
      <c r="F191" s="16">
        <v>2.0</v>
      </c>
      <c r="G191" s="33" t="s">
        <v>488</v>
      </c>
      <c r="H191" s="16" t="s">
        <v>258</v>
      </c>
      <c r="I191" s="16" t="s">
        <v>456</v>
      </c>
      <c r="J191" s="16">
        <v>225.5</v>
      </c>
      <c r="K191" s="16">
        <v>111.5</v>
      </c>
      <c r="L191" s="22">
        <v>47.0</v>
      </c>
      <c r="M191" s="22">
        <v>202.0</v>
      </c>
      <c r="N191" s="47">
        <f>+155</f>
        <v>155</v>
      </c>
      <c r="O191" s="16">
        <v>10.9</v>
      </c>
      <c r="P191" s="22">
        <v>3700.0</v>
      </c>
      <c r="Q191" s="22">
        <v>339.0</v>
      </c>
      <c r="R191" s="22"/>
      <c r="S191" s="22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30" t="str">
        <f t="shared" si="1"/>
        <v>Wes Iwundu</v>
      </c>
      <c r="B192" s="23" t="s">
        <v>507</v>
      </c>
      <c r="C192" s="16">
        <v>10.8</v>
      </c>
      <c r="E192" s="23" t="s">
        <v>507</v>
      </c>
      <c r="F192" s="16">
        <v>2.0</v>
      </c>
      <c r="G192" s="33" t="s">
        <v>452</v>
      </c>
      <c r="H192" s="16" t="s">
        <v>262</v>
      </c>
      <c r="I192" s="16" t="s">
        <v>439</v>
      </c>
      <c r="J192" s="16">
        <v>219.5</v>
      </c>
      <c r="K192" s="16">
        <v>111.5</v>
      </c>
      <c r="L192" s="22">
        <v>41.0</v>
      </c>
      <c r="M192" s="22">
        <v>322.0</v>
      </c>
      <c r="N192" s="47">
        <f>+281</f>
        <v>281</v>
      </c>
      <c r="O192" s="16">
        <v>10.8</v>
      </c>
      <c r="P192" s="22">
        <v>3500.0</v>
      </c>
      <c r="Q192" s="22">
        <v>325.0</v>
      </c>
      <c r="R192" s="22"/>
      <c r="S192" s="22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30" t="str">
        <f t="shared" si="1"/>
        <v>Chimezie Metu</v>
      </c>
      <c r="B193" s="23" t="s">
        <v>356</v>
      </c>
      <c r="C193" s="16">
        <v>10.7</v>
      </c>
      <c r="E193" s="23" t="s">
        <v>356</v>
      </c>
      <c r="F193" s="16">
        <v>2.0</v>
      </c>
      <c r="G193" s="33" t="s">
        <v>429</v>
      </c>
      <c r="H193" s="16" t="s">
        <v>453</v>
      </c>
      <c r="I193" s="16" t="s">
        <v>431</v>
      </c>
      <c r="J193" s="16">
        <v>242.0</v>
      </c>
      <c r="K193" s="31">
        <v>120.0</v>
      </c>
      <c r="L193" s="22">
        <v>29.0</v>
      </c>
      <c r="M193" s="22">
        <v>241.0</v>
      </c>
      <c r="N193" s="47">
        <f>+212</f>
        <v>212</v>
      </c>
      <c r="O193" s="16">
        <v>10.7</v>
      </c>
      <c r="P193" s="22">
        <v>3500.0</v>
      </c>
      <c r="Q193" s="22">
        <v>326.0</v>
      </c>
      <c r="R193" s="22"/>
      <c r="S193" s="22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30" t="str">
        <f t="shared" si="1"/>
        <v>Ish Smith</v>
      </c>
      <c r="B194" s="23" t="s">
        <v>508</v>
      </c>
      <c r="C194" s="16">
        <v>10.6</v>
      </c>
      <c r="E194" s="23" t="s">
        <v>508</v>
      </c>
      <c r="F194" s="16">
        <v>2.0</v>
      </c>
      <c r="G194" s="33" t="s">
        <v>462</v>
      </c>
      <c r="H194" s="16" t="s">
        <v>277</v>
      </c>
      <c r="I194" s="16" t="s">
        <v>431</v>
      </c>
      <c r="J194" s="16">
        <v>242.0</v>
      </c>
      <c r="K194" s="31">
        <v>122.5</v>
      </c>
      <c r="L194" s="22">
        <v>42.0</v>
      </c>
      <c r="M194" s="22">
        <v>213.0</v>
      </c>
      <c r="N194" s="47">
        <f>+171</f>
        <v>171</v>
      </c>
      <c r="O194" s="16">
        <v>10.6</v>
      </c>
      <c r="P194" s="22">
        <v>3600.0</v>
      </c>
      <c r="Q194" s="22">
        <v>339.0</v>
      </c>
      <c r="R194" s="22"/>
      <c r="S194" s="22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30" t="str">
        <f t="shared" si="1"/>
        <v>Devin Vassell</v>
      </c>
      <c r="B195" s="23" t="s">
        <v>509</v>
      </c>
      <c r="C195" s="16">
        <v>10.5</v>
      </c>
      <c r="E195" s="23" t="s">
        <v>509</v>
      </c>
      <c r="F195" s="16">
        <v>2.0</v>
      </c>
      <c r="G195" s="33" t="s">
        <v>510</v>
      </c>
      <c r="H195" s="16" t="s">
        <v>426</v>
      </c>
      <c r="I195" s="16" t="s">
        <v>436</v>
      </c>
      <c r="J195" s="16">
        <v>221.5</v>
      </c>
      <c r="K195" s="16">
        <v>113.5</v>
      </c>
      <c r="L195" s="22">
        <v>42.0</v>
      </c>
      <c r="M195" s="22">
        <v>320.0</v>
      </c>
      <c r="N195" s="47">
        <f>+278</f>
        <v>278</v>
      </c>
      <c r="O195" s="16">
        <v>10.5</v>
      </c>
      <c r="P195" s="22">
        <v>3500.0</v>
      </c>
      <c r="Q195" s="22">
        <v>334.0</v>
      </c>
      <c r="R195" s="22"/>
      <c r="S195" s="22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30" t="str">
        <f t="shared" si="1"/>
        <v>Rodney Hood</v>
      </c>
      <c r="B196" s="23" t="s">
        <v>511</v>
      </c>
      <c r="C196" s="16">
        <v>10.3</v>
      </c>
      <c r="E196" s="23" t="s">
        <v>511</v>
      </c>
      <c r="F196" s="16">
        <v>1.0</v>
      </c>
      <c r="G196" s="33" t="s">
        <v>435</v>
      </c>
      <c r="H196" s="16" t="s">
        <v>295</v>
      </c>
      <c r="I196" s="16" t="s">
        <v>436</v>
      </c>
      <c r="J196" s="16">
        <v>221.5</v>
      </c>
      <c r="K196" s="39">
        <v>108.0</v>
      </c>
      <c r="L196" s="22">
        <v>43.0</v>
      </c>
      <c r="M196" s="22">
        <v>285.0</v>
      </c>
      <c r="N196" s="47">
        <f>+242</f>
        <v>242</v>
      </c>
      <c r="O196" s="16">
        <v>10.3</v>
      </c>
      <c r="P196" s="22">
        <v>3500.0</v>
      </c>
      <c r="Q196" s="22">
        <v>338.0</v>
      </c>
      <c r="R196" s="22"/>
      <c r="S196" s="22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30" t="str">
        <f t="shared" si="1"/>
        <v>Cody Martin</v>
      </c>
      <c r="B197" s="23" t="s">
        <v>512</v>
      </c>
      <c r="C197" s="16">
        <v>10.1</v>
      </c>
      <c r="E197" s="23" t="s">
        <v>512</v>
      </c>
      <c r="F197" s="16">
        <v>1.0</v>
      </c>
      <c r="G197" s="33" t="s">
        <v>484</v>
      </c>
      <c r="H197" s="16" t="s">
        <v>430</v>
      </c>
      <c r="I197" s="16" t="s">
        <v>433</v>
      </c>
      <c r="J197" s="16">
        <v>212.5</v>
      </c>
      <c r="K197" s="39">
        <v>108.0</v>
      </c>
      <c r="L197" s="22">
        <v>44.0</v>
      </c>
      <c r="M197" s="22">
        <v>252.0</v>
      </c>
      <c r="N197" s="47">
        <f>+208</f>
        <v>208</v>
      </c>
      <c r="O197" s="16">
        <v>10.1</v>
      </c>
      <c r="P197" s="22">
        <v>3500.0</v>
      </c>
      <c r="Q197" s="22">
        <v>346.0</v>
      </c>
      <c r="R197" s="22"/>
      <c r="S197" s="22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30" t="str">
        <f t="shared" si="1"/>
        <v>Lonnie Walker</v>
      </c>
      <c r="B198" s="23" t="s">
        <v>513</v>
      </c>
      <c r="C198" s="16">
        <v>10.0</v>
      </c>
      <c r="E198" s="23" t="s">
        <v>513</v>
      </c>
      <c r="F198" s="16">
        <v>2.0</v>
      </c>
      <c r="G198" s="33" t="s">
        <v>510</v>
      </c>
      <c r="H198" s="16" t="s">
        <v>426</v>
      </c>
      <c r="I198" s="16" t="s">
        <v>436</v>
      </c>
      <c r="J198" s="16">
        <v>221.5</v>
      </c>
      <c r="K198" s="16">
        <v>113.5</v>
      </c>
      <c r="L198" s="22">
        <v>45.0</v>
      </c>
      <c r="M198" s="22">
        <v>186.0</v>
      </c>
      <c r="N198" s="47">
        <f>+141</f>
        <v>141</v>
      </c>
      <c r="O198" s="16">
        <v>10.0</v>
      </c>
      <c r="P198" s="22">
        <v>3900.0</v>
      </c>
      <c r="Q198" s="22">
        <v>390.0</v>
      </c>
      <c r="R198" s="22"/>
      <c r="S198" s="22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30" t="str">
        <f t="shared" si="1"/>
        <v>Drew Eubanks</v>
      </c>
      <c r="B199" s="23" t="s">
        <v>514</v>
      </c>
      <c r="C199" s="16">
        <v>9.9</v>
      </c>
      <c r="E199" s="23" t="s">
        <v>514</v>
      </c>
      <c r="F199" s="16">
        <v>2.0</v>
      </c>
      <c r="G199" s="33" t="s">
        <v>510</v>
      </c>
      <c r="H199" s="16" t="s">
        <v>305</v>
      </c>
      <c r="I199" s="16" t="s">
        <v>436</v>
      </c>
      <c r="J199" s="16">
        <v>221.5</v>
      </c>
      <c r="K199" s="16">
        <v>113.5</v>
      </c>
      <c r="L199" s="22">
        <v>30.0</v>
      </c>
      <c r="M199" s="22">
        <v>226.0</v>
      </c>
      <c r="N199" s="47">
        <f>+196</f>
        <v>196</v>
      </c>
      <c r="O199" s="16">
        <v>9.9</v>
      </c>
      <c r="P199" s="22">
        <v>3500.0</v>
      </c>
      <c r="Q199" s="22">
        <v>354.0</v>
      </c>
      <c r="R199" s="22"/>
      <c r="S199" s="22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30" t="str">
        <f t="shared" si="1"/>
        <v>JJ Redick</v>
      </c>
      <c r="B200" s="23" t="s">
        <v>515</v>
      </c>
      <c r="C200" s="16">
        <v>8.8</v>
      </c>
      <c r="E200" s="23" t="s">
        <v>515</v>
      </c>
      <c r="F200" s="16">
        <v>2.0</v>
      </c>
      <c r="G200" s="33" t="s">
        <v>455</v>
      </c>
      <c r="H200" s="16" t="s">
        <v>453</v>
      </c>
      <c r="I200" s="16" t="s">
        <v>456</v>
      </c>
      <c r="J200" s="16">
        <v>225.5</v>
      </c>
      <c r="K200" s="34">
        <v>114.5</v>
      </c>
      <c r="L200" s="22">
        <v>35.0</v>
      </c>
      <c r="M200" s="22">
        <v>256.0</v>
      </c>
      <c r="N200" s="47">
        <f>+221</f>
        <v>221</v>
      </c>
      <c r="O200" s="16">
        <v>8.8</v>
      </c>
      <c r="P200" s="22">
        <v>3500.0</v>
      </c>
      <c r="Q200" s="22">
        <v>396.0</v>
      </c>
      <c r="R200" s="22"/>
      <c r="S200" s="22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30" t="str">
        <f t="shared" si="1"/>
        <v>Wayne Ellington</v>
      </c>
      <c r="B201" s="23" t="s">
        <v>516</v>
      </c>
      <c r="C201" s="16">
        <v>8.8</v>
      </c>
      <c r="E201" s="23" t="s">
        <v>516</v>
      </c>
      <c r="F201" s="16">
        <v>3.0</v>
      </c>
      <c r="G201" s="33" t="s">
        <v>472</v>
      </c>
      <c r="H201" s="16" t="s">
        <v>266</v>
      </c>
      <c r="I201" s="16" t="s">
        <v>473</v>
      </c>
      <c r="J201" s="16">
        <v>216.5</v>
      </c>
      <c r="K201" s="39">
        <v>107.0</v>
      </c>
      <c r="L201" s="22">
        <v>46.0</v>
      </c>
      <c r="M201" s="22">
        <v>236.0</v>
      </c>
      <c r="N201" s="47">
        <f>+190</f>
        <v>190</v>
      </c>
      <c r="O201" s="16">
        <v>8.8</v>
      </c>
      <c r="P201" s="22">
        <v>3500.0</v>
      </c>
      <c r="Q201" s="22">
        <v>397.0</v>
      </c>
      <c r="R201" s="22"/>
      <c r="S201" s="22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30" t="str">
        <f t="shared" si="1"/>
        <v>Garrison Mathews</v>
      </c>
      <c r="B202" s="23" t="s">
        <v>517</v>
      </c>
      <c r="C202" s="16">
        <v>8.2</v>
      </c>
      <c r="E202" s="23" t="s">
        <v>517</v>
      </c>
      <c r="F202" s="16">
        <v>2.0</v>
      </c>
      <c r="G202" s="33" t="s">
        <v>462</v>
      </c>
      <c r="H202" s="16" t="s">
        <v>286</v>
      </c>
      <c r="I202" s="16" t="s">
        <v>431</v>
      </c>
      <c r="J202" s="16">
        <v>242.0</v>
      </c>
      <c r="K202" s="31">
        <v>122.5</v>
      </c>
      <c r="L202" s="22">
        <v>36.0</v>
      </c>
      <c r="M202" s="22">
        <v>337.0</v>
      </c>
      <c r="N202" s="47">
        <f>+301</f>
        <v>301</v>
      </c>
      <c r="O202" s="16">
        <v>8.2</v>
      </c>
      <c r="P202" s="22">
        <v>3500.0</v>
      </c>
      <c r="Q202" s="22">
        <v>426.0</v>
      </c>
      <c r="R202" s="22"/>
      <c r="S202" s="22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30" t="str">
        <f t="shared" si="1"/>
        <v>Mike Scott</v>
      </c>
      <c r="B203" s="23" t="s">
        <v>518</v>
      </c>
      <c r="C203" s="16">
        <v>8.1</v>
      </c>
      <c r="E203" s="23" t="s">
        <v>518</v>
      </c>
      <c r="F203" s="16">
        <v>2.0</v>
      </c>
      <c r="G203" s="33" t="s">
        <v>465</v>
      </c>
      <c r="H203" s="16" t="s">
        <v>284</v>
      </c>
      <c r="I203" s="16" t="s">
        <v>445</v>
      </c>
      <c r="J203" s="16">
        <v>225.5</v>
      </c>
      <c r="K203" s="34">
        <v>117.0</v>
      </c>
      <c r="L203" s="22">
        <v>48.0</v>
      </c>
      <c r="M203" s="22">
        <v>317.0</v>
      </c>
      <c r="N203" s="47">
        <f>+269</f>
        <v>269</v>
      </c>
      <c r="O203" s="16">
        <v>8.1</v>
      </c>
      <c r="P203" s="22">
        <v>3500.0</v>
      </c>
      <c r="Q203" s="22">
        <v>434.0</v>
      </c>
      <c r="R203" s="22"/>
      <c r="S203" s="22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30" t="str">
        <f t="shared" si="1"/>
        <v>Tyrese Maxey</v>
      </c>
      <c r="B204" s="23" t="s">
        <v>519</v>
      </c>
      <c r="C204" s="16">
        <v>7.7</v>
      </c>
      <c r="E204" s="23" t="s">
        <v>519</v>
      </c>
      <c r="F204" s="16">
        <v>2.0</v>
      </c>
      <c r="G204" s="33" t="s">
        <v>465</v>
      </c>
      <c r="H204" s="16" t="s">
        <v>318</v>
      </c>
      <c r="I204" s="16" t="s">
        <v>445</v>
      </c>
      <c r="J204" s="16">
        <v>225.5</v>
      </c>
      <c r="K204" s="34">
        <v>117.0</v>
      </c>
      <c r="L204" s="22">
        <v>47.0</v>
      </c>
      <c r="M204" s="22">
        <v>300.0</v>
      </c>
      <c r="N204" s="47">
        <f>+253</f>
        <v>253</v>
      </c>
      <c r="O204" s="16">
        <v>7.7</v>
      </c>
      <c r="P204" s="22">
        <v>3500.0</v>
      </c>
      <c r="Q204" s="22">
        <v>456.0</v>
      </c>
      <c r="R204" s="22"/>
      <c r="S204" s="22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30" t="str">
        <f t="shared" si="1"/>
        <v>John Konchar</v>
      </c>
      <c r="B205" s="23" t="s">
        <v>520</v>
      </c>
      <c r="C205" s="16">
        <v>7.6</v>
      </c>
      <c r="E205" s="23" t="s">
        <v>520</v>
      </c>
      <c r="F205" s="16">
        <v>2.0</v>
      </c>
      <c r="G205" s="33" t="s">
        <v>488</v>
      </c>
      <c r="H205" s="16" t="s">
        <v>281</v>
      </c>
      <c r="I205" s="16" t="s">
        <v>456</v>
      </c>
      <c r="J205" s="16">
        <v>225.5</v>
      </c>
      <c r="K205" s="16">
        <v>111.5</v>
      </c>
      <c r="L205" s="22">
        <v>48.0</v>
      </c>
      <c r="M205" s="22">
        <v>267.0</v>
      </c>
      <c r="N205" s="47">
        <f>+219</f>
        <v>219</v>
      </c>
      <c r="O205" s="16">
        <v>7.6</v>
      </c>
      <c r="P205" s="22">
        <v>3500.0</v>
      </c>
      <c r="Q205" s="22">
        <v>458.0</v>
      </c>
      <c r="R205" s="22"/>
      <c r="S205" s="22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30" t="str">
        <f t="shared" si="1"/>
        <v>Obi Toppin</v>
      </c>
      <c r="B206" s="23" t="s">
        <v>521</v>
      </c>
      <c r="C206" s="16">
        <v>6.6</v>
      </c>
      <c r="E206" s="23" t="s">
        <v>521</v>
      </c>
      <c r="F206" s="16">
        <v>2.0</v>
      </c>
      <c r="G206" s="33" t="s">
        <v>438</v>
      </c>
      <c r="H206" s="16" t="s">
        <v>426</v>
      </c>
      <c r="I206" s="16" t="s">
        <v>439</v>
      </c>
      <c r="J206" s="16">
        <v>219.5</v>
      </c>
      <c r="K206" s="16">
        <v>108.5</v>
      </c>
      <c r="L206" s="22">
        <v>37.0</v>
      </c>
      <c r="M206" s="22">
        <v>293.0</v>
      </c>
      <c r="N206" s="47">
        <f>+256</f>
        <v>256</v>
      </c>
      <c r="O206" s="16">
        <v>6.6</v>
      </c>
      <c r="P206" s="22">
        <v>3500.0</v>
      </c>
      <c r="Q206" s="22">
        <v>530.0</v>
      </c>
      <c r="R206" s="22"/>
      <c r="S206" s="22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30" t="str">
        <f t="shared" si="1"/>
        <v>Paul Watson</v>
      </c>
      <c r="B207" s="23" t="s">
        <v>522</v>
      </c>
      <c r="C207" s="39">
        <v>6.1</v>
      </c>
      <c r="E207" s="23" t="s">
        <v>522</v>
      </c>
      <c r="F207" s="16">
        <v>21.0</v>
      </c>
      <c r="G207" s="33" t="s">
        <v>435</v>
      </c>
      <c r="H207" s="16" t="s">
        <v>295</v>
      </c>
      <c r="I207" s="16" t="s">
        <v>436</v>
      </c>
      <c r="J207" s="16">
        <v>221.5</v>
      </c>
      <c r="K207" s="39">
        <v>108.0</v>
      </c>
      <c r="L207" s="22">
        <v>49.0</v>
      </c>
      <c r="M207" s="22">
        <v>233.0</v>
      </c>
      <c r="N207" s="47">
        <f>+184</f>
        <v>184</v>
      </c>
      <c r="O207" s="39">
        <v>6.1</v>
      </c>
      <c r="P207" s="22">
        <v>3500.0</v>
      </c>
      <c r="Q207" s="22">
        <v>572.0</v>
      </c>
      <c r="R207" s="22"/>
      <c r="S207" s="22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30" t="str">
        <f t="shared" si="1"/>
        <v>Chandler Hutchison</v>
      </c>
      <c r="B208" s="23" t="s">
        <v>523</v>
      </c>
      <c r="C208" s="39">
        <v>6.1</v>
      </c>
      <c r="E208" s="23" t="s">
        <v>523</v>
      </c>
      <c r="F208" s="16">
        <v>4.0</v>
      </c>
      <c r="G208" s="33" t="s">
        <v>462</v>
      </c>
      <c r="H208" s="16" t="s">
        <v>286</v>
      </c>
      <c r="I208" s="16" t="s">
        <v>431</v>
      </c>
      <c r="J208" s="16">
        <v>242.0</v>
      </c>
      <c r="K208" s="31">
        <v>122.5</v>
      </c>
      <c r="L208" s="22">
        <v>38.0</v>
      </c>
      <c r="M208" s="22">
        <v>258.0</v>
      </c>
      <c r="N208" s="47">
        <f>+220</f>
        <v>220</v>
      </c>
      <c r="O208" s="39">
        <v>6.1</v>
      </c>
      <c r="P208" s="22">
        <v>3500.0</v>
      </c>
      <c r="Q208" s="22">
        <v>578.0</v>
      </c>
      <c r="R208" s="22"/>
      <c r="S208" s="22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30" t="str">
        <f t="shared" si="1"/>
        <v>Sekou Doumbouya</v>
      </c>
      <c r="B209" s="23" t="s">
        <v>524</v>
      </c>
      <c r="C209" s="39">
        <v>6.0</v>
      </c>
      <c r="E209" s="23" t="s">
        <v>524</v>
      </c>
      <c r="F209" s="16">
        <v>3.0</v>
      </c>
      <c r="G209" s="33" t="s">
        <v>472</v>
      </c>
      <c r="H209" s="16" t="s">
        <v>311</v>
      </c>
      <c r="I209" s="16" t="s">
        <v>473</v>
      </c>
      <c r="J209" s="16">
        <v>216.5</v>
      </c>
      <c r="K209" s="39">
        <v>107.0</v>
      </c>
      <c r="L209" s="22">
        <v>49.0</v>
      </c>
      <c r="M209" s="22">
        <v>224.0</v>
      </c>
      <c r="N209" s="47">
        <f>+175</f>
        <v>175</v>
      </c>
      <c r="O209" s="39">
        <v>6.0</v>
      </c>
      <c r="P209" s="22">
        <v>3500.0</v>
      </c>
      <c r="Q209" s="22">
        <v>582.0</v>
      </c>
      <c r="R209" s="22"/>
      <c r="S209" s="22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30" t="str">
        <f t="shared" si="1"/>
        <v>Frank Jackson</v>
      </c>
      <c r="B210" s="23" t="s">
        <v>525</v>
      </c>
      <c r="C210" s="39">
        <v>5.8</v>
      </c>
      <c r="E210" s="23" t="s">
        <v>525</v>
      </c>
      <c r="F210" s="16">
        <v>3.0</v>
      </c>
      <c r="G210" s="33" t="s">
        <v>472</v>
      </c>
      <c r="H210" s="16" t="s">
        <v>254</v>
      </c>
      <c r="I210" s="16" t="s">
        <v>473</v>
      </c>
      <c r="J210" s="16">
        <v>216.5</v>
      </c>
      <c r="K210" s="39">
        <v>107.0</v>
      </c>
      <c r="L210" s="22">
        <v>43.0</v>
      </c>
      <c r="M210" s="22">
        <v>262.0</v>
      </c>
      <c r="N210" s="47">
        <f>+219</f>
        <v>219</v>
      </c>
      <c r="O210" s="39">
        <v>5.8</v>
      </c>
      <c r="P210" s="22">
        <v>3500.0</v>
      </c>
      <c r="Q210" s="22">
        <v>606.0</v>
      </c>
      <c r="R210" s="22"/>
      <c r="S210" s="22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30" t="str">
        <f t="shared" si="1"/>
        <v>Nemanja Bjelica</v>
      </c>
      <c r="B211" s="23" t="s">
        <v>526</v>
      </c>
      <c r="C211" s="39">
        <v>4.7</v>
      </c>
      <c r="E211" s="23" t="s">
        <v>526</v>
      </c>
      <c r="F211" s="16">
        <v>1.0</v>
      </c>
      <c r="G211" s="33" t="s">
        <v>449</v>
      </c>
      <c r="H211" s="16" t="s">
        <v>430</v>
      </c>
      <c r="I211" s="16" t="s">
        <v>450</v>
      </c>
      <c r="J211" s="16">
        <v>209.0</v>
      </c>
      <c r="K211" s="41">
        <v>101.5</v>
      </c>
      <c r="L211" s="45">
        <v>50.0</v>
      </c>
      <c r="M211" s="22">
        <v>167.0</v>
      </c>
      <c r="N211" s="47">
        <f>+117</f>
        <v>117</v>
      </c>
      <c r="O211" s="39">
        <v>4.7</v>
      </c>
      <c r="P211" s="22">
        <v>4000.0</v>
      </c>
      <c r="Q211" s="22">
        <v>844.0</v>
      </c>
      <c r="R211" s="22"/>
      <c r="S211" s="22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30" t="str">
        <f t="shared" si="1"/>
        <v>Trey Burke</v>
      </c>
      <c r="B212" s="23" t="s">
        <v>527</v>
      </c>
      <c r="C212" s="39">
        <v>4.7</v>
      </c>
      <c r="E212" s="23" t="s">
        <v>527</v>
      </c>
      <c r="F212" s="16">
        <v>2.0</v>
      </c>
      <c r="G212" s="33" t="s">
        <v>455</v>
      </c>
      <c r="H212" s="16" t="s">
        <v>281</v>
      </c>
      <c r="I212" s="16" t="s">
        <v>456</v>
      </c>
      <c r="J212" s="16">
        <v>225.5</v>
      </c>
      <c r="K212" s="34">
        <v>114.5</v>
      </c>
      <c r="L212" s="22">
        <v>44.0</v>
      </c>
      <c r="M212" s="22">
        <v>283.0</v>
      </c>
      <c r="N212" s="47">
        <f>+239</f>
        <v>239</v>
      </c>
      <c r="O212" s="39">
        <v>4.7</v>
      </c>
      <c r="P212" s="22">
        <v>3500.0</v>
      </c>
      <c r="Q212" s="22">
        <v>740.0</v>
      </c>
      <c r="R212" s="22"/>
      <c r="S212" s="22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30" t="str">
        <f t="shared" si="1"/>
        <v>Cassius Winston</v>
      </c>
      <c r="B213" s="23" t="s">
        <v>528</v>
      </c>
      <c r="C213" s="39">
        <v>4.6</v>
      </c>
      <c r="E213" s="23" t="s">
        <v>528</v>
      </c>
      <c r="F213" s="16">
        <v>4.0</v>
      </c>
      <c r="G213" s="33" t="s">
        <v>462</v>
      </c>
      <c r="H213" s="16" t="s">
        <v>277</v>
      </c>
      <c r="I213" s="16" t="s">
        <v>431</v>
      </c>
      <c r="J213" s="16">
        <v>242.0</v>
      </c>
      <c r="K213" s="31">
        <v>122.5</v>
      </c>
      <c r="L213" s="22">
        <v>45.0</v>
      </c>
      <c r="M213" s="22">
        <v>309.0</v>
      </c>
      <c r="N213" s="47">
        <f>+264</f>
        <v>264</v>
      </c>
      <c r="O213" s="39">
        <v>4.6</v>
      </c>
      <c r="P213" s="22">
        <v>3500.0</v>
      </c>
      <c r="Q213" s="22">
        <v>768.0</v>
      </c>
      <c r="R213" s="22"/>
      <c r="S213" s="22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30" t="str">
        <f t="shared" si="1"/>
        <v>Gabe Vincent</v>
      </c>
      <c r="B214" s="23" t="s">
        <v>529</v>
      </c>
      <c r="C214" s="39">
        <v>0.0</v>
      </c>
      <c r="E214" s="23" t="s">
        <v>529</v>
      </c>
      <c r="F214" s="16">
        <v>1.0</v>
      </c>
      <c r="G214" s="33" t="s">
        <v>449</v>
      </c>
      <c r="H214" s="16" t="s">
        <v>258</v>
      </c>
      <c r="I214" s="16" t="s">
        <v>450</v>
      </c>
      <c r="J214" s="16">
        <v>209.0</v>
      </c>
      <c r="K214" s="41">
        <v>101.5</v>
      </c>
      <c r="L214" s="46">
        <v>74.0</v>
      </c>
      <c r="M214" s="22">
        <v>316.0</v>
      </c>
      <c r="N214" s="47">
        <f>+242</f>
        <v>242</v>
      </c>
      <c r="O214" s="39">
        <v>0.0</v>
      </c>
      <c r="P214" s="22">
        <v>3500.0</v>
      </c>
      <c r="Q214" s="22">
        <v>0.0</v>
      </c>
      <c r="R214" s="22"/>
      <c r="S214" s="22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30" t="str">
        <f t="shared" si="1"/>
        <v>KZ Okpala</v>
      </c>
      <c r="B215" s="23" t="s">
        <v>530</v>
      </c>
      <c r="C215" s="39">
        <v>0.0</v>
      </c>
      <c r="E215" s="23" t="s">
        <v>530</v>
      </c>
      <c r="F215" s="16">
        <v>1.0</v>
      </c>
      <c r="G215" s="33" t="s">
        <v>449</v>
      </c>
      <c r="H215" s="16" t="s">
        <v>486</v>
      </c>
      <c r="I215" s="16" t="s">
        <v>450</v>
      </c>
      <c r="J215" s="16">
        <v>209.0</v>
      </c>
      <c r="K215" s="41">
        <v>101.5</v>
      </c>
      <c r="L215" s="46">
        <v>74.0</v>
      </c>
      <c r="M215" s="22">
        <v>229.0</v>
      </c>
      <c r="N215" s="47">
        <f>+155</f>
        <v>155</v>
      </c>
      <c r="O215" s="39">
        <v>0.0</v>
      </c>
      <c r="P215" s="22">
        <v>3500.0</v>
      </c>
      <c r="Q215" s="22">
        <v>0.0</v>
      </c>
      <c r="R215" s="22"/>
      <c r="S215" s="22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30" t="str">
        <f t="shared" si="1"/>
        <v>Bol Bol</v>
      </c>
      <c r="B216" s="23" t="s">
        <v>531</v>
      </c>
      <c r="C216" s="39">
        <v>0.0</v>
      </c>
      <c r="E216" s="23" t="s">
        <v>531</v>
      </c>
      <c r="F216" s="16">
        <v>3.0</v>
      </c>
      <c r="G216" s="33" t="s">
        <v>478</v>
      </c>
      <c r="H216" s="16" t="s">
        <v>258</v>
      </c>
      <c r="I216" s="16" t="s">
        <v>450</v>
      </c>
      <c r="J216" s="16">
        <v>209.0</v>
      </c>
      <c r="K216" s="39">
        <v>107.5</v>
      </c>
      <c r="L216" s="22">
        <v>35.0</v>
      </c>
      <c r="M216" s="22">
        <v>261.0</v>
      </c>
      <c r="N216" s="47">
        <f>+226</f>
        <v>226</v>
      </c>
      <c r="O216" s="39">
        <v>0.0</v>
      </c>
      <c r="P216" s="22">
        <v>3500.0</v>
      </c>
      <c r="Q216" s="22">
        <v>0.0</v>
      </c>
      <c r="R216" s="22"/>
      <c r="S216" s="22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30" t="str">
        <f t="shared" si="1"/>
        <v>Eric Paschall</v>
      </c>
      <c r="B217" s="23" t="s">
        <v>366</v>
      </c>
      <c r="C217" s="39">
        <v>0.0</v>
      </c>
      <c r="E217" s="23" t="s">
        <v>366</v>
      </c>
      <c r="F217" s="16">
        <v>12.0</v>
      </c>
      <c r="G217" s="33" t="s">
        <v>463</v>
      </c>
      <c r="H217" s="16" t="s">
        <v>284</v>
      </c>
      <c r="I217" s="16" t="s">
        <v>460</v>
      </c>
      <c r="J217" s="16">
        <v>224.5</v>
      </c>
      <c r="K217" s="34">
        <v>118.0</v>
      </c>
      <c r="L217" s="22">
        <v>40.0</v>
      </c>
      <c r="M217" s="22">
        <v>240.0</v>
      </c>
      <c r="N217" s="47">
        <f>+200</f>
        <v>200</v>
      </c>
      <c r="O217" s="39">
        <v>0.0</v>
      </c>
      <c r="P217" s="22">
        <v>3500.0</v>
      </c>
      <c r="Q217" s="22">
        <v>0.0</v>
      </c>
      <c r="R217" s="22"/>
      <c r="S217" s="22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30" t="str">
        <f t="shared" si="1"/>
        <v>Justin James</v>
      </c>
      <c r="B218" s="23" t="s">
        <v>369</v>
      </c>
      <c r="C218" s="39">
        <v>0.0</v>
      </c>
      <c r="E218" s="23" t="s">
        <v>369</v>
      </c>
      <c r="F218" s="16">
        <v>12.0</v>
      </c>
      <c r="G218" s="33" t="s">
        <v>429</v>
      </c>
      <c r="H218" s="16" t="s">
        <v>486</v>
      </c>
      <c r="I218" s="16" t="s">
        <v>431</v>
      </c>
      <c r="J218" s="16">
        <v>242.0</v>
      </c>
      <c r="K218" s="31">
        <v>120.0</v>
      </c>
      <c r="L218" s="45">
        <v>65.0</v>
      </c>
      <c r="M218" s="22">
        <v>244.0</v>
      </c>
      <c r="N218" s="47">
        <f>+179</f>
        <v>179</v>
      </c>
      <c r="O218" s="39">
        <v>0.0</v>
      </c>
      <c r="P218" s="22">
        <v>3500.0</v>
      </c>
      <c r="Q218" s="22">
        <v>0.0</v>
      </c>
      <c r="R218" s="22"/>
      <c r="S218" s="22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30" t="str">
        <f t="shared" si="1"/>
        <v>Dylan Windler</v>
      </c>
      <c r="B219" s="23" t="s">
        <v>372</v>
      </c>
      <c r="C219" s="39">
        <v>0.0</v>
      </c>
      <c r="E219" s="23" t="s">
        <v>372</v>
      </c>
      <c r="F219" s="16">
        <v>19.0</v>
      </c>
      <c r="G219" s="33" t="s">
        <v>432</v>
      </c>
      <c r="H219" s="16" t="s">
        <v>300</v>
      </c>
      <c r="I219" s="16" t="s">
        <v>433</v>
      </c>
      <c r="J219" s="16">
        <v>212.5</v>
      </c>
      <c r="K219" s="39">
        <v>104.5</v>
      </c>
      <c r="L219" s="45">
        <v>64.0</v>
      </c>
      <c r="M219" s="22">
        <v>247.0</v>
      </c>
      <c r="N219" s="47">
        <f>+183</f>
        <v>183</v>
      </c>
      <c r="O219" s="39">
        <v>0.0</v>
      </c>
      <c r="P219" s="22">
        <v>3500.0</v>
      </c>
      <c r="Q219" s="22">
        <v>0.0</v>
      </c>
      <c r="R219" s="22"/>
      <c r="S219" s="22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30" t="str">
        <f t="shared" si="1"/>
        <v>Quinndary Weatherspoon</v>
      </c>
      <c r="B220" s="23" t="s">
        <v>532</v>
      </c>
      <c r="C220" s="39">
        <v>0.0</v>
      </c>
      <c r="E220" s="23" t="s">
        <v>532</v>
      </c>
      <c r="F220" s="16">
        <v>2.0</v>
      </c>
      <c r="G220" s="33" t="s">
        <v>510</v>
      </c>
      <c r="H220" s="16" t="s">
        <v>426</v>
      </c>
      <c r="I220" s="16" t="s">
        <v>436</v>
      </c>
      <c r="J220" s="16">
        <v>221.5</v>
      </c>
      <c r="K220" s="16">
        <v>113.5</v>
      </c>
      <c r="L220" s="45">
        <v>60.0</v>
      </c>
      <c r="M220" s="22">
        <v>249.0</v>
      </c>
      <c r="N220" s="47">
        <f>+189</f>
        <v>189</v>
      </c>
      <c r="O220" s="39">
        <v>0.0</v>
      </c>
      <c r="P220" s="22">
        <v>3500.0</v>
      </c>
      <c r="Q220" s="22">
        <v>0.0</v>
      </c>
      <c r="R220" s="22"/>
      <c r="S220" s="22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30" t="str">
        <f t="shared" si="1"/>
        <v>Mfiondu Kabengele</v>
      </c>
      <c r="B221" s="23" t="s">
        <v>373</v>
      </c>
      <c r="C221" s="39">
        <v>0.0</v>
      </c>
      <c r="E221" s="23" t="s">
        <v>373</v>
      </c>
      <c r="F221" s="16">
        <v>3.0</v>
      </c>
      <c r="G221" s="33" t="s">
        <v>432</v>
      </c>
      <c r="H221" s="16" t="s">
        <v>275</v>
      </c>
      <c r="I221" s="16" t="s">
        <v>433</v>
      </c>
      <c r="J221" s="16">
        <v>212.5</v>
      </c>
      <c r="K221" s="39">
        <v>104.5</v>
      </c>
      <c r="L221" s="45">
        <v>50.0</v>
      </c>
      <c r="M221" s="22">
        <v>260.0</v>
      </c>
      <c r="N221" s="47">
        <f>+210</f>
        <v>210</v>
      </c>
      <c r="O221" s="39">
        <v>0.0</v>
      </c>
      <c r="P221" s="22">
        <v>3500.0</v>
      </c>
      <c r="Q221" s="22">
        <v>0.0</v>
      </c>
      <c r="R221" s="22"/>
      <c r="S221" s="22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30" t="str">
        <f t="shared" si="1"/>
        <v>Nickeil Alexander-Walker</v>
      </c>
      <c r="B222" s="23" t="s">
        <v>533</v>
      </c>
      <c r="C222" s="39">
        <v>0.0</v>
      </c>
      <c r="E222" s="23" t="s">
        <v>533</v>
      </c>
      <c r="F222" s="16">
        <v>10.0</v>
      </c>
      <c r="G222" s="33" t="s">
        <v>452</v>
      </c>
      <c r="H222" s="16" t="s">
        <v>262</v>
      </c>
      <c r="I222" s="16" t="s">
        <v>439</v>
      </c>
      <c r="J222" s="16">
        <v>219.5</v>
      </c>
      <c r="K222" s="16">
        <v>111.5</v>
      </c>
      <c r="L222" s="45">
        <v>59.0</v>
      </c>
      <c r="M222" s="22">
        <v>53.0</v>
      </c>
      <c r="N222" s="39">
        <v>-6.0</v>
      </c>
      <c r="O222" s="39">
        <v>0.0</v>
      </c>
      <c r="P222" s="22">
        <v>6600.0</v>
      </c>
      <c r="Q222" s="22">
        <v>0.0</v>
      </c>
      <c r="R222" s="22"/>
      <c r="S222" s="22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30" t="str">
        <f t="shared" si="1"/>
        <v>Kyle Guy</v>
      </c>
      <c r="B223" s="23" t="s">
        <v>374</v>
      </c>
      <c r="C223" s="39">
        <v>0.0</v>
      </c>
      <c r="E223" s="23" t="s">
        <v>374</v>
      </c>
      <c r="F223" s="16">
        <v>2.0</v>
      </c>
      <c r="G223" s="33" t="s">
        <v>429</v>
      </c>
      <c r="H223" s="16" t="s">
        <v>486</v>
      </c>
      <c r="I223" s="16" t="s">
        <v>431</v>
      </c>
      <c r="J223" s="16">
        <v>242.0</v>
      </c>
      <c r="K223" s="31">
        <v>120.0</v>
      </c>
      <c r="L223" s="45">
        <v>56.0</v>
      </c>
      <c r="M223" s="22">
        <v>263.0</v>
      </c>
      <c r="N223" s="47">
        <f>+207</f>
        <v>207</v>
      </c>
      <c r="O223" s="39">
        <v>0.0</v>
      </c>
      <c r="P223" s="22">
        <v>3500.0</v>
      </c>
      <c r="Q223" s="22">
        <v>0.0</v>
      </c>
      <c r="R223" s="22"/>
      <c r="S223" s="22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30" t="str">
        <f t="shared" si="1"/>
        <v>Alen Smailagic</v>
      </c>
      <c r="B224" s="23" t="s">
        <v>375</v>
      </c>
      <c r="C224" s="39">
        <v>0.0</v>
      </c>
      <c r="E224" s="23" t="s">
        <v>375</v>
      </c>
      <c r="F224" s="16">
        <v>12.0</v>
      </c>
      <c r="G224" s="33" t="s">
        <v>463</v>
      </c>
      <c r="H224" s="16" t="s">
        <v>453</v>
      </c>
      <c r="I224" s="16" t="s">
        <v>460</v>
      </c>
      <c r="J224" s="16">
        <v>224.5</v>
      </c>
      <c r="K224" s="34">
        <v>118.0</v>
      </c>
      <c r="L224" s="45">
        <v>59.0</v>
      </c>
      <c r="M224" s="22">
        <v>264.0</v>
      </c>
      <c r="N224" s="47">
        <f>+205</f>
        <v>205</v>
      </c>
      <c r="O224" s="39">
        <v>0.0</v>
      </c>
      <c r="P224" s="22">
        <v>3500.0</v>
      </c>
      <c r="Q224" s="22">
        <v>0.0</v>
      </c>
      <c r="R224" s="22"/>
      <c r="S224" s="22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30" t="str">
        <f t="shared" si="1"/>
        <v>Deividas Sirvydis</v>
      </c>
      <c r="B225" s="23" t="s">
        <v>534</v>
      </c>
      <c r="C225" s="39">
        <v>0.0</v>
      </c>
      <c r="E225" s="23" t="s">
        <v>534</v>
      </c>
      <c r="F225" s="16">
        <v>9.0</v>
      </c>
      <c r="G225" s="33" t="s">
        <v>472</v>
      </c>
      <c r="H225" s="16" t="s">
        <v>302</v>
      </c>
      <c r="I225" s="16" t="s">
        <v>473</v>
      </c>
      <c r="J225" s="16">
        <v>216.5</v>
      </c>
      <c r="K225" s="39">
        <v>107.0</v>
      </c>
      <c r="L225" s="22">
        <v>49.0</v>
      </c>
      <c r="M225" s="22">
        <v>253.0</v>
      </c>
      <c r="N225" s="47">
        <f>+204</f>
        <v>204</v>
      </c>
      <c r="O225" s="39">
        <v>0.0</v>
      </c>
      <c r="P225" s="22">
        <v>3500.0</v>
      </c>
      <c r="Q225" s="22">
        <v>0.0</v>
      </c>
      <c r="R225" s="22"/>
      <c r="S225" s="22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30" t="str">
        <f t="shared" si="1"/>
        <v>Luka Samanic</v>
      </c>
      <c r="B226" s="23" t="s">
        <v>535</v>
      </c>
      <c r="C226" s="39">
        <v>0.0</v>
      </c>
      <c r="E226" s="23" t="s">
        <v>535</v>
      </c>
      <c r="F226" s="16">
        <v>2.0</v>
      </c>
      <c r="G226" s="33" t="s">
        <v>510</v>
      </c>
      <c r="H226" s="16" t="s">
        <v>275</v>
      </c>
      <c r="I226" s="16" t="s">
        <v>436</v>
      </c>
      <c r="J226" s="16">
        <v>221.5</v>
      </c>
      <c r="K226" s="16">
        <v>113.5</v>
      </c>
      <c r="L226" s="45">
        <v>56.0</v>
      </c>
      <c r="M226" s="22">
        <v>225.0</v>
      </c>
      <c r="N226" s="47">
        <f>+169</f>
        <v>169</v>
      </c>
      <c r="O226" s="39">
        <v>0.0</v>
      </c>
      <c r="P226" s="22">
        <v>3500.0</v>
      </c>
      <c r="Q226" s="22">
        <v>0.0</v>
      </c>
      <c r="R226" s="22"/>
      <c r="S226" s="22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30" t="str">
        <f t="shared" si="1"/>
        <v>Nicolo Melli</v>
      </c>
      <c r="B227" s="23" t="s">
        <v>536</v>
      </c>
      <c r="C227" s="39">
        <v>0.0</v>
      </c>
      <c r="E227" s="23" t="s">
        <v>536</v>
      </c>
      <c r="F227" s="16">
        <v>2.0</v>
      </c>
      <c r="G227" s="33" t="s">
        <v>455</v>
      </c>
      <c r="H227" s="16" t="s">
        <v>467</v>
      </c>
      <c r="I227" s="16" t="s">
        <v>456</v>
      </c>
      <c r="J227" s="16">
        <v>225.5</v>
      </c>
      <c r="K227" s="34">
        <v>114.5</v>
      </c>
      <c r="L227" s="45">
        <v>54.0</v>
      </c>
      <c r="M227" s="22">
        <v>228.0</v>
      </c>
      <c r="N227" s="47">
        <f>+174</f>
        <v>174</v>
      </c>
      <c r="O227" s="39">
        <v>0.0</v>
      </c>
      <c r="P227" s="22">
        <v>3500.0</v>
      </c>
      <c r="Q227" s="22">
        <v>0.0</v>
      </c>
      <c r="R227" s="22"/>
      <c r="S227" s="22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30" t="str">
        <f t="shared" si="1"/>
        <v>Brian Bowen</v>
      </c>
      <c r="B228" s="23" t="s">
        <v>537</v>
      </c>
      <c r="C228" s="39">
        <v>0.0</v>
      </c>
      <c r="E228" s="23" t="s">
        <v>537</v>
      </c>
      <c r="F228" s="16">
        <v>1.0</v>
      </c>
      <c r="G228" s="33" t="s">
        <v>447</v>
      </c>
      <c r="H228" s="16" t="s">
        <v>453</v>
      </c>
      <c r="I228" s="16" t="s">
        <v>427</v>
      </c>
      <c r="J228" s="16">
        <v>234.0</v>
      </c>
      <c r="K228" s="34">
        <v>119.5</v>
      </c>
      <c r="L228" s="45">
        <v>50.0</v>
      </c>
      <c r="M228" s="22">
        <v>231.0</v>
      </c>
      <c r="N228" s="47">
        <f>+181</f>
        <v>181</v>
      </c>
      <c r="O228" s="39">
        <v>0.0</v>
      </c>
      <c r="P228" s="22">
        <v>3500.0</v>
      </c>
      <c r="Q228" s="22">
        <v>0.0</v>
      </c>
      <c r="R228" s="22"/>
      <c r="S228" s="22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30" t="str">
        <f t="shared" si="1"/>
        <v>Adam Mokoka</v>
      </c>
      <c r="B229" s="23" t="s">
        <v>538</v>
      </c>
      <c r="C229" s="39">
        <v>0.0</v>
      </c>
      <c r="E229" s="23" t="s">
        <v>538</v>
      </c>
      <c r="F229" s="16">
        <v>23.0</v>
      </c>
      <c r="G229" s="33" t="s">
        <v>441</v>
      </c>
      <c r="H229" s="16" t="s">
        <v>442</v>
      </c>
      <c r="I229" s="16" t="s">
        <v>423</v>
      </c>
      <c r="J229" s="16">
        <v>214.5</v>
      </c>
      <c r="K229" s="16">
        <v>112.0</v>
      </c>
      <c r="L229" s="45">
        <v>55.0</v>
      </c>
      <c r="M229" s="22">
        <v>232.0</v>
      </c>
      <c r="N229" s="47">
        <f>+177</f>
        <v>177</v>
      </c>
      <c r="O229" s="39">
        <v>0.0</v>
      </c>
      <c r="P229" s="22">
        <v>3500.0</v>
      </c>
      <c r="Q229" s="22">
        <v>0.0</v>
      </c>
      <c r="R229" s="22"/>
      <c r="S229" s="22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30" t="str">
        <f t="shared" si="1"/>
        <v>Justin Robinson</v>
      </c>
      <c r="B230" s="23" t="s">
        <v>539</v>
      </c>
      <c r="C230" s="39">
        <v>0.0</v>
      </c>
      <c r="E230" s="23" t="s">
        <v>539</v>
      </c>
      <c r="F230" s="16">
        <v>1.0</v>
      </c>
      <c r="G230" s="33" t="s">
        <v>459</v>
      </c>
      <c r="H230" s="16" t="s">
        <v>270</v>
      </c>
      <c r="I230" s="16" t="s">
        <v>460</v>
      </c>
      <c r="J230" s="16">
        <v>224.5</v>
      </c>
      <c r="K230" s="39">
        <v>106.5</v>
      </c>
      <c r="L230" s="45">
        <v>56.0</v>
      </c>
      <c r="M230" s="22">
        <v>265.0</v>
      </c>
      <c r="N230" s="47">
        <f>+209</f>
        <v>209</v>
      </c>
      <c r="O230" s="39">
        <v>0.0</v>
      </c>
      <c r="P230" s="22">
        <v>3500.0</v>
      </c>
      <c r="Q230" s="22">
        <v>0.0</v>
      </c>
      <c r="R230" s="22"/>
      <c r="S230" s="22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30" t="str">
        <f t="shared" si="1"/>
        <v>Amir Coffey</v>
      </c>
      <c r="B231" s="23" t="s">
        <v>540</v>
      </c>
      <c r="C231" s="39">
        <v>0.0</v>
      </c>
      <c r="E231" s="23" t="s">
        <v>540</v>
      </c>
      <c r="F231" s="16">
        <v>1.0</v>
      </c>
      <c r="G231" s="33" t="s">
        <v>482</v>
      </c>
      <c r="H231" s="16" t="s">
        <v>486</v>
      </c>
      <c r="I231" s="16" t="s">
        <v>473</v>
      </c>
      <c r="J231" s="16">
        <v>216.5</v>
      </c>
      <c r="K231" s="16">
        <v>110.0</v>
      </c>
      <c r="L231" s="45">
        <v>57.0</v>
      </c>
      <c r="M231" s="22">
        <v>338.0</v>
      </c>
      <c r="N231" s="47">
        <f>+281</f>
        <v>281</v>
      </c>
      <c r="O231" s="39">
        <v>0.0</v>
      </c>
      <c r="P231" s="22">
        <v>3500.0</v>
      </c>
      <c r="Q231" s="22">
        <v>0.0</v>
      </c>
      <c r="R231" s="22"/>
      <c r="S231" s="22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30" t="str">
        <f t="shared" si="1"/>
        <v>Max Strus</v>
      </c>
      <c r="B232" s="23" t="s">
        <v>541</v>
      </c>
      <c r="C232" s="39">
        <v>0.0</v>
      </c>
      <c r="E232" s="23" t="s">
        <v>541</v>
      </c>
      <c r="F232" s="16">
        <v>1.0</v>
      </c>
      <c r="G232" s="33" t="s">
        <v>449</v>
      </c>
      <c r="H232" s="16" t="s">
        <v>486</v>
      </c>
      <c r="I232" s="16" t="s">
        <v>450</v>
      </c>
      <c r="J232" s="16">
        <v>209.0</v>
      </c>
      <c r="K232" s="41">
        <v>101.5</v>
      </c>
      <c r="L232" s="22">
        <v>41.0</v>
      </c>
      <c r="M232" s="22">
        <v>336.0</v>
      </c>
      <c r="N232" s="47">
        <f>+295</f>
        <v>295</v>
      </c>
      <c r="O232" s="39">
        <v>0.0</v>
      </c>
      <c r="P232" s="22">
        <v>3500.0</v>
      </c>
      <c r="Q232" s="22">
        <v>0.0</v>
      </c>
      <c r="R232" s="22"/>
      <c r="S232" s="22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30" t="str">
        <f t="shared" si="1"/>
        <v>Javonte Green</v>
      </c>
      <c r="B233" s="23" t="s">
        <v>542</v>
      </c>
      <c r="C233" s="39">
        <v>0.0</v>
      </c>
      <c r="E233" s="23" t="s">
        <v>542</v>
      </c>
      <c r="F233" s="16">
        <v>8.0</v>
      </c>
      <c r="G233" s="33" t="s">
        <v>441</v>
      </c>
      <c r="H233" s="16" t="s">
        <v>442</v>
      </c>
      <c r="I233" s="16" t="s">
        <v>423</v>
      </c>
      <c r="J233" s="16">
        <v>214.5</v>
      </c>
      <c r="K233" s="16">
        <v>112.0</v>
      </c>
      <c r="L233" s="45">
        <v>53.0</v>
      </c>
      <c r="M233" s="22">
        <v>335.0</v>
      </c>
      <c r="N233" s="47">
        <f>+282</f>
        <v>282</v>
      </c>
      <c r="O233" s="39">
        <v>0.0</v>
      </c>
      <c r="P233" s="22">
        <v>3500.0</v>
      </c>
      <c r="Q233" s="22">
        <v>0.0</v>
      </c>
      <c r="R233" s="22"/>
      <c r="S233" s="22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30" t="str">
        <f t="shared" si="1"/>
        <v>Kelan Martin</v>
      </c>
      <c r="B234" s="23" t="s">
        <v>543</v>
      </c>
      <c r="C234" s="39">
        <v>0.0</v>
      </c>
      <c r="D234" s="24"/>
      <c r="E234" s="23" t="s">
        <v>543</v>
      </c>
      <c r="F234" s="16">
        <v>1.0</v>
      </c>
      <c r="G234" s="33" t="s">
        <v>447</v>
      </c>
      <c r="H234" s="16" t="s">
        <v>289</v>
      </c>
      <c r="I234" s="16" t="s">
        <v>427</v>
      </c>
      <c r="J234" s="16">
        <v>234.0</v>
      </c>
      <c r="K234" s="34">
        <v>119.5</v>
      </c>
      <c r="L234" s="45">
        <v>52.0</v>
      </c>
      <c r="M234" s="22">
        <v>328.0</v>
      </c>
      <c r="N234" s="47">
        <f>+276</f>
        <v>276</v>
      </c>
      <c r="O234" s="39">
        <v>0.0</v>
      </c>
      <c r="P234" s="22">
        <v>3500.0</v>
      </c>
      <c r="Q234" s="22">
        <v>0.0</v>
      </c>
      <c r="R234" s="22"/>
      <c r="S234" s="22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30" t="str">
        <f t="shared" si="1"/>
        <v>Jaylen Hoard</v>
      </c>
      <c r="B235" s="23" t="s">
        <v>544</v>
      </c>
      <c r="C235" s="39">
        <v>0.0</v>
      </c>
      <c r="D235" s="24"/>
      <c r="E235" s="23" t="s">
        <v>544</v>
      </c>
      <c r="F235" s="16">
        <v>1.0</v>
      </c>
      <c r="G235" s="33" t="s">
        <v>459</v>
      </c>
      <c r="H235" s="16" t="s">
        <v>291</v>
      </c>
      <c r="I235" s="16" t="s">
        <v>460</v>
      </c>
      <c r="J235" s="16">
        <v>224.5</v>
      </c>
      <c r="K235" s="39">
        <v>106.5</v>
      </c>
      <c r="L235" s="45">
        <v>72.0</v>
      </c>
      <c r="M235" s="22">
        <v>199.0</v>
      </c>
      <c r="N235" s="47">
        <f>+127</f>
        <v>127</v>
      </c>
      <c r="O235" s="39">
        <v>0.0</v>
      </c>
      <c r="P235" s="22">
        <v>3700.0</v>
      </c>
      <c r="Q235" s="22">
        <v>0.0</v>
      </c>
      <c r="R235" s="22"/>
      <c r="S235" s="22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30" t="str">
        <f t="shared" si="1"/>
        <v>Tyler Cook</v>
      </c>
      <c r="B236" s="23" t="s">
        <v>545</v>
      </c>
      <c r="C236" s="39">
        <v>0.0</v>
      </c>
      <c r="D236" s="24"/>
      <c r="E236" s="23" t="s">
        <v>545</v>
      </c>
      <c r="F236" s="16">
        <v>4.0</v>
      </c>
      <c r="G236" s="33" t="s">
        <v>472</v>
      </c>
      <c r="H236" s="16" t="s">
        <v>311</v>
      </c>
      <c r="I236" s="16" t="s">
        <v>473</v>
      </c>
      <c r="J236" s="16">
        <v>216.5</v>
      </c>
      <c r="K236" s="39">
        <v>107.0</v>
      </c>
      <c r="L236" s="46">
        <v>79.0</v>
      </c>
      <c r="M236" s="22">
        <v>318.0</v>
      </c>
      <c r="N236" s="47">
        <f>+239</f>
        <v>239</v>
      </c>
      <c r="O236" s="39">
        <v>0.0</v>
      </c>
      <c r="P236" s="22">
        <v>3500.0</v>
      </c>
      <c r="Q236" s="22">
        <v>0.0</v>
      </c>
      <c r="R236" s="22"/>
      <c r="S236" s="22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30" t="str">
        <f t="shared" si="1"/>
        <v>Rayjon Tucker</v>
      </c>
      <c r="B237" s="23" t="s">
        <v>546</v>
      </c>
      <c r="C237" s="39">
        <v>0.0</v>
      </c>
      <c r="D237" s="24"/>
      <c r="E237" s="23" t="s">
        <v>546</v>
      </c>
      <c r="F237" s="16">
        <v>2.0</v>
      </c>
      <c r="G237" s="33" t="s">
        <v>465</v>
      </c>
      <c r="H237" s="16" t="s">
        <v>311</v>
      </c>
      <c r="I237" s="16" t="s">
        <v>445</v>
      </c>
      <c r="J237" s="16">
        <v>225.5</v>
      </c>
      <c r="K237" s="34">
        <v>117.0</v>
      </c>
      <c r="L237" s="45">
        <v>55.0</v>
      </c>
      <c r="M237" s="22">
        <v>326.0</v>
      </c>
      <c r="N237" s="47">
        <f>+271</f>
        <v>271</v>
      </c>
      <c r="O237" s="39">
        <v>0.0</v>
      </c>
      <c r="P237" s="22">
        <v>3500.0</v>
      </c>
      <c r="Q237" s="22">
        <v>0.0</v>
      </c>
      <c r="R237" s="22"/>
      <c r="S237" s="22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30" t="str">
        <f t="shared" si="1"/>
        <v>Mychal Mulder</v>
      </c>
      <c r="B238" s="23" t="s">
        <v>378</v>
      </c>
      <c r="C238" s="39">
        <v>0.0</v>
      </c>
      <c r="D238" s="24"/>
      <c r="E238" s="23" t="s">
        <v>378</v>
      </c>
      <c r="F238" s="16">
        <v>2.0</v>
      </c>
      <c r="G238" s="33" t="s">
        <v>463</v>
      </c>
      <c r="H238" s="16" t="s">
        <v>337</v>
      </c>
      <c r="I238" s="16" t="s">
        <v>460</v>
      </c>
      <c r="J238" s="16">
        <v>224.5</v>
      </c>
      <c r="K238" s="34">
        <v>118.0</v>
      </c>
      <c r="L238" s="45">
        <v>69.0</v>
      </c>
      <c r="M238" s="22">
        <v>324.0</v>
      </c>
      <c r="N238" s="47">
        <f>+255</f>
        <v>255</v>
      </c>
      <c r="O238" s="39">
        <v>0.0</v>
      </c>
      <c r="P238" s="22">
        <v>3500.0</v>
      </c>
      <c r="Q238" s="22">
        <v>0.0</v>
      </c>
      <c r="R238" s="22"/>
      <c r="S238" s="22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30" t="str">
        <f t="shared" si="1"/>
        <v>Chris Silva</v>
      </c>
      <c r="B239" s="23" t="s">
        <v>379</v>
      </c>
      <c r="C239" s="39">
        <v>0.0</v>
      </c>
      <c r="D239" s="24"/>
      <c r="E239" s="23" t="s">
        <v>379</v>
      </c>
      <c r="F239" s="16">
        <v>14.0</v>
      </c>
      <c r="G239" s="33" t="s">
        <v>429</v>
      </c>
      <c r="H239" s="16" t="s">
        <v>313</v>
      </c>
      <c r="I239" s="16" t="s">
        <v>431</v>
      </c>
      <c r="J239" s="16">
        <v>242.0</v>
      </c>
      <c r="K239" s="31">
        <v>120.0</v>
      </c>
      <c r="L239" s="46">
        <v>78.0</v>
      </c>
      <c r="M239" s="22">
        <v>323.0</v>
      </c>
      <c r="N239" s="47">
        <f>+245</f>
        <v>245</v>
      </c>
      <c r="O239" s="39">
        <v>0.0</v>
      </c>
      <c r="P239" s="22">
        <v>3500.0</v>
      </c>
      <c r="Q239" s="22">
        <v>0.0</v>
      </c>
      <c r="R239" s="22"/>
      <c r="S239" s="22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30" t="str">
        <f t="shared" si="1"/>
        <v>Oshae Brissett</v>
      </c>
      <c r="B240" s="23" t="s">
        <v>547</v>
      </c>
      <c r="C240" s="39">
        <v>0.0</v>
      </c>
      <c r="D240" s="24"/>
      <c r="E240" s="23" t="s">
        <v>547</v>
      </c>
      <c r="F240" s="16">
        <v>1.0</v>
      </c>
      <c r="G240" s="33" t="s">
        <v>447</v>
      </c>
      <c r="H240" s="16" t="s">
        <v>289</v>
      </c>
      <c r="I240" s="16" t="s">
        <v>427</v>
      </c>
      <c r="J240" s="16">
        <v>234.0</v>
      </c>
      <c r="K240" s="34">
        <v>119.5</v>
      </c>
      <c r="L240" s="45">
        <v>67.0</v>
      </c>
      <c r="M240" s="22">
        <v>365.0</v>
      </c>
      <c r="N240" s="47">
        <f>+298</f>
        <v>298</v>
      </c>
      <c r="O240" s="39">
        <v>0.0</v>
      </c>
      <c r="P240" s="22">
        <v>3500.0</v>
      </c>
      <c r="Q240" s="22">
        <v>0.0</v>
      </c>
      <c r="R240" s="22"/>
      <c r="S240" s="22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30" t="str">
        <f t="shared" si="1"/>
        <v>Vlatko Cancar</v>
      </c>
      <c r="B241" s="23" t="s">
        <v>548</v>
      </c>
      <c r="C241" s="39">
        <v>0.0</v>
      </c>
      <c r="D241" s="24"/>
      <c r="E241" s="23" t="s">
        <v>548</v>
      </c>
      <c r="F241" s="16">
        <v>3.0</v>
      </c>
      <c r="G241" s="33" t="s">
        <v>478</v>
      </c>
      <c r="H241" s="16" t="s">
        <v>281</v>
      </c>
      <c r="I241" s="16" t="s">
        <v>450</v>
      </c>
      <c r="J241" s="16">
        <v>209.0</v>
      </c>
      <c r="K241" s="39">
        <v>107.5</v>
      </c>
      <c r="L241" s="45">
        <v>66.0</v>
      </c>
      <c r="M241" s="22">
        <v>319.0</v>
      </c>
      <c r="N241" s="47">
        <f>+253</f>
        <v>253</v>
      </c>
      <c r="O241" s="39">
        <v>0.0</v>
      </c>
      <c r="P241" s="22">
        <v>3500.0</v>
      </c>
      <c r="Q241" s="22">
        <v>0.0</v>
      </c>
      <c r="R241" s="22"/>
      <c r="S241" s="22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30" t="str">
        <f t="shared" si="1"/>
        <v>Robert Franks</v>
      </c>
      <c r="B242" s="23" t="s">
        <v>549</v>
      </c>
      <c r="C242" s="39">
        <v>0.0</v>
      </c>
      <c r="D242" s="24"/>
      <c r="E242" s="23" t="s">
        <v>549</v>
      </c>
      <c r="F242" s="16">
        <v>2.0</v>
      </c>
      <c r="G242" s="33" t="s">
        <v>422</v>
      </c>
      <c r="H242" s="16" t="s">
        <v>313</v>
      </c>
      <c r="I242" s="16" t="s">
        <v>423</v>
      </c>
      <c r="J242" s="16">
        <v>214.5</v>
      </c>
      <c r="K242" s="41">
        <v>102.5</v>
      </c>
      <c r="L242" s="45">
        <v>65.0</v>
      </c>
      <c r="M242" s="22">
        <v>340.0</v>
      </c>
      <c r="N242" s="47">
        <f>+275</f>
        <v>275</v>
      </c>
      <c r="O242" s="39">
        <v>0.0</v>
      </c>
      <c r="P242" s="22">
        <v>3500.0</v>
      </c>
      <c r="Q242" s="22">
        <v>0.0</v>
      </c>
      <c r="R242" s="22"/>
      <c r="S242" s="22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30" t="str">
        <f t="shared" si="1"/>
        <v>Armoni Brooks</v>
      </c>
      <c r="B243" s="23" t="s">
        <v>550</v>
      </c>
      <c r="C243" s="39">
        <v>0.0</v>
      </c>
      <c r="D243" s="24"/>
      <c r="E243" s="23" t="s">
        <v>550</v>
      </c>
      <c r="F243" s="16">
        <v>2.0</v>
      </c>
      <c r="G243" s="33" t="s">
        <v>425</v>
      </c>
      <c r="H243" s="16" t="s">
        <v>308</v>
      </c>
      <c r="I243" s="16" t="s">
        <v>427</v>
      </c>
      <c r="J243" s="16">
        <v>234.0</v>
      </c>
      <c r="K243" s="34">
        <v>115.0</v>
      </c>
      <c r="L243" s="45">
        <v>66.0</v>
      </c>
      <c r="M243" s="22">
        <v>355.0</v>
      </c>
      <c r="N243" s="47">
        <f>+289</f>
        <v>289</v>
      </c>
      <c r="O243" s="39">
        <v>0.0</v>
      </c>
      <c r="P243" s="22">
        <v>3500.0</v>
      </c>
      <c r="Q243" s="22">
        <v>0.0</v>
      </c>
      <c r="R243" s="22"/>
      <c r="S243" s="22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30" t="str">
        <f t="shared" si="1"/>
        <v>DaQuan Jeffries</v>
      </c>
      <c r="B244" s="23" t="s">
        <v>551</v>
      </c>
      <c r="C244" s="39">
        <v>0.0</v>
      </c>
      <c r="D244" s="24"/>
      <c r="E244" s="23" t="s">
        <v>551</v>
      </c>
      <c r="F244" s="16">
        <v>5.0</v>
      </c>
      <c r="G244" s="33" t="s">
        <v>425</v>
      </c>
      <c r="H244" s="16" t="s">
        <v>270</v>
      </c>
      <c r="I244" s="16" t="s">
        <v>427</v>
      </c>
      <c r="J244" s="16">
        <v>234.0</v>
      </c>
      <c r="K244" s="34">
        <v>115.0</v>
      </c>
      <c r="L244" s="45">
        <v>63.0</v>
      </c>
      <c r="M244" s="22">
        <v>364.0</v>
      </c>
      <c r="N244" s="47">
        <f>+301</f>
        <v>301</v>
      </c>
      <c r="O244" s="39">
        <v>0.0</v>
      </c>
      <c r="P244" s="22">
        <v>3500.0</v>
      </c>
      <c r="Q244" s="22">
        <v>0.0</v>
      </c>
      <c r="R244" s="22"/>
      <c r="S244" s="22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30" t="str">
        <f t="shared" si="1"/>
        <v>Donta Hall</v>
      </c>
      <c r="B245" s="23" t="s">
        <v>552</v>
      </c>
      <c r="C245" s="39">
        <v>0.0</v>
      </c>
      <c r="D245" s="24"/>
      <c r="E245" s="23" t="s">
        <v>552</v>
      </c>
      <c r="F245" s="16" t="s">
        <v>382</v>
      </c>
      <c r="G245" s="33" t="s">
        <v>422</v>
      </c>
      <c r="H245" s="16" t="s">
        <v>313</v>
      </c>
      <c r="I245" s="16" t="s">
        <v>423</v>
      </c>
      <c r="J245" s="16">
        <v>214.5</v>
      </c>
      <c r="K245" s="41">
        <v>102.5</v>
      </c>
      <c r="L245" s="45">
        <v>54.0</v>
      </c>
      <c r="M245" s="22">
        <v>358.0</v>
      </c>
      <c r="N245" s="48">
        <f>+304</f>
        <v>304</v>
      </c>
      <c r="O245" s="39">
        <v>0.0</v>
      </c>
      <c r="P245" s="22">
        <v>3500.0</v>
      </c>
      <c r="Q245" s="22">
        <v>0.0</v>
      </c>
      <c r="R245" s="22"/>
      <c r="S245" s="22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30" t="str">
        <f t="shared" si="1"/>
        <v>Jared Harper</v>
      </c>
      <c r="B246" s="23" t="s">
        <v>553</v>
      </c>
      <c r="C246" s="39">
        <v>0.0</v>
      </c>
      <c r="D246" s="24"/>
      <c r="E246" s="23" t="s">
        <v>553</v>
      </c>
      <c r="F246" s="16">
        <v>11.0</v>
      </c>
      <c r="G246" s="33" t="s">
        <v>438</v>
      </c>
      <c r="H246" s="16" t="s">
        <v>453</v>
      </c>
      <c r="I246" s="16" t="s">
        <v>439</v>
      </c>
      <c r="J246" s="16">
        <v>219.5</v>
      </c>
      <c r="K246" s="16">
        <v>108.5</v>
      </c>
      <c r="L246" s="45">
        <v>53.0</v>
      </c>
      <c r="M246" s="22">
        <v>356.0</v>
      </c>
      <c r="N246" s="47">
        <f>+303</f>
        <v>303</v>
      </c>
      <c r="O246" s="39">
        <v>0.0</v>
      </c>
      <c r="P246" s="22">
        <v>3500.0</v>
      </c>
      <c r="Q246" s="22">
        <v>0.0</v>
      </c>
      <c r="R246" s="22"/>
      <c r="S246" s="22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30" t="str">
        <f t="shared" si="1"/>
        <v>Jontay Porter</v>
      </c>
      <c r="B247" s="23" t="s">
        <v>554</v>
      </c>
      <c r="C247" s="39">
        <v>0.0</v>
      </c>
      <c r="D247" s="24"/>
      <c r="E247" s="23" t="s">
        <v>554</v>
      </c>
      <c r="F247" s="16">
        <v>7.0</v>
      </c>
      <c r="G247" s="33" t="s">
        <v>488</v>
      </c>
      <c r="H247" s="16" t="s">
        <v>262</v>
      </c>
      <c r="I247" s="16" t="s">
        <v>456</v>
      </c>
      <c r="J247" s="16">
        <v>225.5</v>
      </c>
      <c r="K247" s="16">
        <v>111.5</v>
      </c>
      <c r="L247" s="45">
        <v>58.0</v>
      </c>
      <c r="M247" s="22">
        <v>353.0</v>
      </c>
      <c r="N247" s="47">
        <f>+295</f>
        <v>295</v>
      </c>
      <c r="O247" s="39">
        <v>0.0</v>
      </c>
      <c r="P247" s="22">
        <v>3500.0</v>
      </c>
      <c r="Q247" s="22">
        <v>0.0</v>
      </c>
      <c r="R247" s="22"/>
      <c r="S247" s="22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30" t="str">
        <f t="shared" si="1"/>
        <v>Paul George</v>
      </c>
      <c r="B248" s="23" t="s">
        <v>555</v>
      </c>
      <c r="C248" s="39">
        <v>0.0</v>
      </c>
      <c r="D248" s="24"/>
      <c r="E248" s="23" t="s">
        <v>555</v>
      </c>
      <c r="F248" s="16">
        <v>1.0</v>
      </c>
      <c r="G248" s="33" t="s">
        <v>482</v>
      </c>
      <c r="H248" s="16" t="s">
        <v>258</v>
      </c>
      <c r="I248" s="16" t="s">
        <v>473</v>
      </c>
      <c r="J248" s="16">
        <v>216.5</v>
      </c>
      <c r="K248" s="16">
        <v>110.0</v>
      </c>
      <c r="L248" s="45">
        <v>57.0</v>
      </c>
      <c r="M248" s="22">
        <v>13.0</v>
      </c>
      <c r="N248" s="41">
        <v>-44.0</v>
      </c>
      <c r="O248" s="39">
        <v>0.0</v>
      </c>
      <c r="P248" s="22">
        <v>9200.0</v>
      </c>
      <c r="Q248" s="22">
        <v>0.0</v>
      </c>
      <c r="R248" s="22"/>
      <c r="S248" s="22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30" t="str">
        <f t="shared" si="1"/>
        <v>Al-Farouq Aminu</v>
      </c>
      <c r="B249" s="23" t="s">
        <v>556</v>
      </c>
      <c r="C249" s="39">
        <v>0.0</v>
      </c>
      <c r="D249" s="24"/>
      <c r="E249" s="23" t="s">
        <v>556</v>
      </c>
      <c r="F249" s="16">
        <v>18.0</v>
      </c>
      <c r="G249" s="33" t="s">
        <v>441</v>
      </c>
      <c r="H249" s="16" t="s">
        <v>266</v>
      </c>
      <c r="I249" s="16" t="s">
        <v>423</v>
      </c>
      <c r="J249" s="16">
        <v>214.5</v>
      </c>
      <c r="K249" s="16">
        <v>112.0</v>
      </c>
      <c r="L249" s="46">
        <v>76.0</v>
      </c>
      <c r="M249" s="22">
        <v>349.0</v>
      </c>
      <c r="N249" s="48">
        <f>+273</f>
        <v>273</v>
      </c>
      <c r="O249" s="39">
        <v>0.0</v>
      </c>
      <c r="P249" s="22">
        <v>3500.0</v>
      </c>
      <c r="Q249" s="22">
        <v>0.0</v>
      </c>
      <c r="R249" s="22"/>
      <c r="S249" s="22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30" t="str">
        <f t="shared" si="1"/>
        <v>DeMarcus Cousins</v>
      </c>
      <c r="B250" s="23" t="s">
        <v>557</v>
      </c>
      <c r="C250" s="39">
        <v>0.0</v>
      </c>
      <c r="D250" s="24"/>
      <c r="E250" s="23" t="s">
        <v>557</v>
      </c>
      <c r="F250" s="16">
        <v>5.0</v>
      </c>
      <c r="G250" s="33" t="s">
        <v>482</v>
      </c>
      <c r="H250" s="16" t="s">
        <v>254</v>
      </c>
      <c r="I250" s="16" t="s">
        <v>473</v>
      </c>
      <c r="J250" s="16">
        <v>216.5</v>
      </c>
      <c r="K250" s="16">
        <v>110.0</v>
      </c>
      <c r="L250" s="45">
        <v>50.0</v>
      </c>
      <c r="M250" s="22">
        <v>150.0</v>
      </c>
      <c r="N250" s="47">
        <f>+100</f>
        <v>100</v>
      </c>
      <c r="O250" s="39">
        <v>0.0</v>
      </c>
      <c r="P250" s="22">
        <v>4200.0</v>
      </c>
      <c r="Q250" s="22">
        <v>0.0</v>
      </c>
      <c r="R250" s="22"/>
      <c r="S250" s="22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30" t="str">
        <f t="shared" si="1"/>
        <v>Gordon Hayward</v>
      </c>
      <c r="B251" s="23" t="s">
        <v>558</v>
      </c>
      <c r="C251" s="39">
        <v>0.0</v>
      </c>
      <c r="D251" s="24"/>
      <c r="E251" s="23" t="s">
        <v>558</v>
      </c>
      <c r="F251" s="16">
        <v>12.0</v>
      </c>
      <c r="G251" s="33" t="s">
        <v>484</v>
      </c>
      <c r="H251" s="16" t="s">
        <v>254</v>
      </c>
      <c r="I251" s="16" t="s">
        <v>433</v>
      </c>
      <c r="J251" s="16">
        <v>212.5</v>
      </c>
      <c r="K251" s="39">
        <v>108.0</v>
      </c>
      <c r="L251" s="46">
        <v>73.0</v>
      </c>
      <c r="M251" s="22">
        <v>43.0</v>
      </c>
      <c r="N251" s="41">
        <v>-30.0</v>
      </c>
      <c r="O251" s="39">
        <v>0.0</v>
      </c>
      <c r="P251" s="22">
        <v>7000.0</v>
      </c>
      <c r="Q251" s="22">
        <v>0.0</v>
      </c>
      <c r="R251" s="22"/>
      <c r="S251" s="22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30" t="str">
        <f t="shared" si="1"/>
        <v>Patrick Beverley</v>
      </c>
      <c r="B252" s="23" t="s">
        <v>559</v>
      </c>
      <c r="C252" s="39">
        <v>0.0</v>
      </c>
      <c r="D252" s="24"/>
      <c r="E252" s="23" t="s">
        <v>559</v>
      </c>
      <c r="F252" s="16">
        <v>6.0</v>
      </c>
      <c r="G252" s="33" t="s">
        <v>482</v>
      </c>
      <c r="H252" s="16" t="s">
        <v>300</v>
      </c>
      <c r="I252" s="16" t="s">
        <v>473</v>
      </c>
      <c r="J252" s="16">
        <v>216.5</v>
      </c>
      <c r="K252" s="16">
        <v>110.0</v>
      </c>
      <c r="L252" s="45">
        <v>52.0</v>
      </c>
      <c r="M252" s="22">
        <v>344.0</v>
      </c>
      <c r="N252" s="47">
        <f>+292</f>
        <v>292</v>
      </c>
      <c r="O252" s="39">
        <v>0.0</v>
      </c>
      <c r="P252" s="22">
        <v>3500.0</v>
      </c>
      <c r="Q252" s="22">
        <v>0.0</v>
      </c>
      <c r="R252" s="22"/>
      <c r="S252" s="22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30" t="str">
        <f t="shared" si="1"/>
        <v>Bismack Biyombo</v>
      </c>
      <c r="B253" s="23" t="s">
        <v>560</v>
      </c>
      <c r="C253" s="39">
        <v>0.0</v>
      </c>
      <c r="D253" s="24"/>
      <c r="E253" s="23" t="s">
        <v>560</v>
      </c>
      <c r="F253" s="16">
        <v>1.0</v>
      </c>
      <c r="G253" s="33" t="s">
        <v>484</v>
      </c>
      <c r="H253" s="16" t="s">
        <v>337</v>
      </c>
      <c r="I253" s="16" t="s">
        <v>433</v>
      </c>
      <c r="J253" s="16">
        <v>212.5</v>
      </c>
      <c r="K253" s="39">
        <v>108.0</v>
      </c>
      <c r="L253" s="22">
        <v>49.0</v>
      </c>
      <c r="M253" s="22">
        <v>342.0</v>
      </c>
      <c r="N253" s="47">
        <f>+293</f>
        <v>293</v>
      </c>
      <c r="O253" s="39">
        <v>0.0</v>
      </c>
      <c r="P253" s="22">
        <v>3500.0</v>
      </c>
      <c r="Q253" s="22">
        <v>0.0</v>
      </c>
      <c r="R253" s="22"/>
      <c r="S253" s="22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30" t="str">
        <f t="shared" si="1"/>
        <v>Klay Thompson</v>
      </c>
      <c r="B254" s="23" t="s">
        <v>381</v>
      </c>
      <c r="C254" s="39">
        <v>0.0</v>
      </c>
      <c r="D254" s="24"/>
      <c r="E254" s="23" t="s">
        <v>381</v>
      </c>
      <c r="F254" s="16" t="s">
        <v>382</v>
      </c>
      <c r="G254" s="33" t="s">
        <v>463</v>
      </c>
      <c r="H254" s="16" t="s">
        <v>289</v>
      </c>
      <c r="I254" s="16" t="s">
        <v>460</v>
      </c>
      <c r="J254" s="16">
        <v>224.5</v>
      </c>
      <c r="K254" s="34">
        <v>118.0</v>
      </c>
      <c r="L254" s="45">
        <v>68.0</v>
      </c>
      <c r="M254" s="22">
        <v>194.0</v>
      </c>
      <c r="N254" s="47">
        <f>+126</f>
        <v>126</v>
      </c>
      <c r="O254" s="39">
        <v>0.0</v>
      </c>
      <c r="P254" s="22">
        <v>3800.0</v>
      </c>
      <c r="Q254" s="22">
        <v>0.0</v>
      </c>
      <c r="R254" s="22"/>
      <c r="S254" s="22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30" t="str">
        <f t="shared" si="1"/>
        <v>Kawhi Leonard</v>
      </c>
      <c r="B255" s="23" t="s">
        <v>561</v>
      </c>
      <c r="C255" s="39">
        <v>0.0</v>
      </c>
      <c r="D255" s="24"/>
      <c r="E255" s="23" t="s">
        <v>561</v>
      </c>
      <c r="F255" s="16">
        <v>5.0</v>
      </c>
      <c r="G255" s="33" t="s">
        <v>482</v>
      </c>
      <c r="H255" s="16" t="s">
        <v>266</v>
      </c>
      <c r="I255" s="16" t="s">
        <v>473</v>
      </c>
      <c r="J255" s="16">
        <v>216.5</v>
      </c>
      <c r="K255" s="16">
        <v>110.0</v>
      </c>
      <c r="L255" s="22">
        <v>42.0</v>
      </c>
      <c r="M255" s="22">
        <v>6.0</v>
      </c>
      <c r="N255" s="41">
        <v>-36.0</v>
      </c>
      <c r="O255" s="39">
        <v>0.0</v>
      </c>
      <c r="P255" s="22">
        <v>10100.0</v>
      </c>
      <c r="Q255" s="22">
        <v>0.0</v>
      </c>
      <c r="R255" s="22"/>
      <c r="S255" s="22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30" t="str">
        <f t="shared" si="1"/>
        <v>Zeke Nnaji</v>
      </c>
      <c r="B256" s="23" t="s">
        <v>562</v>
      </c>
      <c r="C256" s="39">
        <v>0.0</v>
      </c>
      <c r="D256" s="24"/>
      <c r="E256" s="23" t="s">
        <v>562</v>
      </c>
      <c r="F256" s="16">
        <v>3.0</v>
      </c>
      <c r="G256" s="33" t="s">
        <v>478</v>
      </c>
      <c r="H256" s="16" t="s">
        <v>318</v>
      </c>
      <c r="I256" s="16" t="s">
        <v>450</v>
      </c>
      <c r="J256" s="16">
        <v>209.0</v>
      </c>
      <c r="K256" s="39">
        <v>107.5</v>
      </c>
      <c r="L256" s="45">
        <v>72.0</v>
      </c>
      <c r="M256" s="22">
        <v>284.0</v>
      </c>
      <c r="N256" s="47">
        <f>+212</f>
        <v>212</v>
      </c>
      <c r="O256" s="39">
        <v>0.0</v>
      </c>
      <c r="P256" s="22">
        <v>3500.0</v>
      </c>
      <c r="Q256" s="22">
        <v>0.0</v>
      </c>
      <c r="R256" s="22"/>
      <c r="S256" s="22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30" t="str">
        <f t="shared" si="1"/>
        <v>Saben Lee</v>
      </c>
      <c r="B257" s="23" t="s">
        <v>563</v>
      </c>
      <c r="C257" s="39">
        <v>0.0</v>
      </c>
      <c r="D257" s="24"/>
      <c r="E257" s="23" t="s">
        <v>563</v>
      </c>
      <c r="F257" s="16">
        <v>3.0</v>
      </c>
      <c r="G257" s="33" t="s">
        <v>472</v>
      </c>
      <c r="H257" s="16" t="s">
        <v>254</v>
      </c>
      <c r="I257" s="16" t="s">
        <v>473</v>
      </c>
      <c r="J257" s="16">
        <v>216.5</v>
      </c>
      <c r="K257" s="39">
        <v>107.0</v>
      </c>
      <c r="L257" s="22">
        <v>48.0</v>
      </c>
      <c r="M257" s="22">
        <v>222.0</v>
      </c>
      <c r="N257" s="47">
        <f>+174</f>
        <v>174</v>
      </c>
      <c r="O257" s="39">
        <v>0.0</v>
      </c>
      <c r="P257" s="22">
        <v>3600.0</v>
      </c>
      <c r="Q257" s="22">
        <v>0.0</v>
      </c>
      <c r="R257" s="22"/>
      <c r="S257" s="22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30" t="str">
        <f t="shared" si="1"/>
        <v>Grant Riller</v>
      </c>
      <c r="B258" s="23" t="s">
        <v>564</v>
      </c>
      <c r="C258" s="39">
        <v>0.0</v>
      </c>
      <c r="D258" s="24"/>
      <c r="E258" s="23" t="s">
        <v>564</v>
      </c>
      <c r="F258" s="16">
        <v>5.0</v>
      </c>
      <c r="G258" s="33" t="s">
        <v>484</v>
      </c>
      <c r="H258" s="16" t="s">
        <v>430</v>
      </c>
      <c r="I258" s="16" t="s">
        <v>433</v>
      </c>
      <c r="J258" s="16">
        <v>212.5</v>
      </c>
      <c r="K258" s="39">
        <v>108.0</v>
      </c>
      <c r="L258" s="46">
        <v>86.0</v>
      </c>
      <c r="M258" s="22">
        <v>278.0</v>
      </c>
      <c r="N258" s="47">
        <f>+192</f>
        <v>192</v>
      </c>
      <c r="O258" s="39">
        <v>0.0</v>
      </c>
      <c r="P258" s="22">
        <v>3500.0</v>
      </c>
      <c r="Q258" s="22">
        <v>0.0</v>
      </c>
      <c r="R258" s="22"/>
      <c r="S258" s="22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30" t="str">
        <f t="shared" si="1"/>
        <v>Vernon Carey</v>
      </c>
      <c r="B259" s="23" t="s">
        <v>565</v>
      </c>
      <c r="C259" s="39">
        <v>0.0</v>
      </c>
      <c r="D259" s="24"/>
      <c r="E259" s="23" t="s">
        <v>565</v>
      </c>
      <c r="F259" s="16">
        <v>5.0</v>
      </c>
      <c r="G259" s="33" t="s">
        <v>484</v>
      </c>
      <c r="H259" s="16" t="s">
        <v>289</v>
      </c>
      <c r="I259" s="16" t="s">
        <v>433</v>
      </c>
      <c r="J259" s="16">
        <v>212.5</v>
      </c>
      <c r="K259" s="39">
        <v>108.0</v>
      </c>
      <c r="L259" s="45">
        <v>65.0</v>
      </c>
      <c r="M259" s="22">
        <v>279.0</v>
      </c>
      <c r="N259" s="47">
        <f>+214</f>
        <v>214</v>
      </c>
      <c r="O259" s="39">
        <v>0.0</v>
      </c>
      <c r="P259" s="22">
        <v>3500.0</v>
      </c>
      <c r="Q259" s="22">
        <v>0.0</v>
      </c>
      <c r="R259" s="22"/>
      <c r="S259" s="22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30" t="str">
        <f t="shared" si="1"/>
        <v>Nick Richards</v>
      </c>
      <c r="B260" s="23" t="s">
        <v>566</v>
      </c>
      <c r="C260" s="39">
        <v>0.0</v>
      </c>
      <c r="D260" s="24"/>
      <c r="E260" s="23" t="s">
        <v>566</v>
      </c>
      <c r="F260" s="16">
        <v>5.0</v>
      </c>
      <c r="G260" s="33" t="s">
        <v>484</v>
      </c>
      <c r="H260" s="16" t="s">
        <v>337</v>
      </c>
      <c r="I260" s="16" t="s">
        <v>433</v>
      </c>
      <c r="J260" s="16">
        <v>212.5</v>
      </c>
      <c r="K260" s="39">
        <v>108.0</v>
      </c>
      <c r="L260" s="22">
        <v>48.0</v>
      </c>
      <c r="M260" s="22">
        <v>297.0</v>
      </c>
      <c r="N260" s="48">
        <f t="shared" ref="N260:N261" si="3">+249</f>
        <v>249</v>
      </c>
      <c r="O260" s="39">
        <v>0.0</v>
      </c>
      <c r="P260" s="22">
        <v>3500.0</v>
      </c>
      <c r="Q260" s="22">
        <v>0.0</v>
      </c>
      <c r="R260" s="22"/>
      <c r="S260" s="22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30" t="str">
        <f t="shared" si="1"/>
        <v>Daniel Oturu</v>
      </c>
      <c r="B261" s="23" t="s">
        <v>567</v>
      </c>
      <c r="C261" s="39">
        <v>0.0</v>
      </c>
      <c r="D261" s="24"/>
      <c r="E261" s="23" t="s">
        <v>567</v>
      </c>
      <c r="F261" s="16">
        <v>1.0</v>
      </c>
      <c r="G261" s="33" t="s">
        <v>482</v>
      </c>
      <c r="H261" s="16" t="s">
        <v>254</v>
      </c>
      <c r="I261" s="16" t="s">
        <v>473</v>
      </c>
      <c r="J261" s="16">
        <v>216.5</v>
      </c>
      <c r="K261" s="16">
        <v>110.0</v>
      </c>
      <c r="L261" s="22">
        <v>47.0</v>
      </c>
      <c r="M261" s="22">
        <v>296.0</v>
      </c>
      <c r="N261" s="47">
        <f t="shared" si="3"/>
        <v>249</v>
      </c>
      <c r="O261" s="39">
        <v>0.0</v>
      </c>
      <c r="P261" s="22">
        <v>3500.0</v>
      </c>
      <c r="Q261" s="22">
        <v>0.0</v>
      </c>
      <c r="R261" s="22"/>
      <c r="S261" s="22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30" t="str">
        <f t="shared" si="1"/>
        <v>Tre Jones</v>
      </c>
      <c r="B262" s="23" t="s">
        <v>568</v>
      </c>
      <c r="C262" s="39">
        <v>0.0</v>
      </c>
      <c r="D262" s="24"/>
      <c r="E262" s="23" t="s">
        <v>568</v>
      </c>
      <c r="F262" s="16">
        <v>2.0</v>
      </c>
      <c r="G262" s="33" t="s">
        <v>510</v>
      </c>
      <c r="H262" s="16" t="s">
        <v>313</v>
      </c>
      <c r="I262" s="16" t="s">
        <v>436</v>
      </c>
      <c r="J262" s="16">
        <v>221.5</v>
      </c>
      <c r="K262" s="16">
        <v>113.5</v>
      </c>
      <c r="L262" s="22">
        <v>47.0</v>
      </c>
      <c r="M262" s="22">
        <v>266.0</v>
      </c>
      <c r="N262" s="47">
        <f>+219</f>
        <v>219</v>
      </c>
      <c r="O262" s="39">
        <v>0.0</v>
      </c>
      <c r="P262" s="22">
        <v>3500.0</v>
      </c>
      <c r="Q262" s="22">
        <v>0.0</v>
      </c>
      <c r="R262" s="22"/>
      <c r="S262" s="22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30" t="str">
        <f t="shared" si="1"/>
        <v>Josh Green</v>
      </c>
      <c r="B263" s="23" t="s">
        <v>569</v>
      </c>
      <c r="C263" s="39">
        <v>0.0</v>
      </c>
      <c r="D263" s="24"/>
      <c r="E263" s="23" t="s">
        <v>569</v>
      </c>
      <c r="F263" s="16">
        <v>2.0</v>
      </c>
      <c r="G263" s="33" t="s">
        <v>455</v>
      </c>
      <c r="H263" s="16" t="s">
        <v>272</v>
      </c>
      <c r="I263" s="16" t="s">
        <v>456</v>
      </c>
      <c r="J263" s="16">
        <v>225.5</v>
      </c>
      <c r="K263" s="34">
        <v>114.5</v>
      </c>
      <c r="L263" s="46">
        <v>85.0</v>
      </c>
      <c r="M263" s="22">
        <v>294.0</v>
      </c>
      <c r="N263" s="47">
        <f>+209</f>
        <v>209</v>
      </c>
      <c r="O263" s="39">
        <v>0.0</v>
      </c>
      <c r="P263" s="22">
        <v>3500.0</v>
      </c>
      <c r="Q263" s="22">
        <v>0.0</v>
      </c>
      <c r="R263" s="22"/>
      <c r="S263" s="22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30" t="str">
        <f t="shared" si="1"/>
        <v>Tyrell Terry</v>
      </c>
      <c r="B264" s="23" t="s">
        <v>570</v>
      </c>
      <c r="C264" s="39">
        <v>0.0</v>
      </c>
      <c r="D264" s="24"/>
      <c r="E264" s="23" t="s">
        <v>570</v>
      </c>
      <c r="F264" s="16">
        <v>75.0</v>
      </c>
      <c r="G264" s="33" t="s">
        <v>455</v>
      </c>
      <c r="H264" s="16" t="s">
        <v>281</v>
      </c>
      <c r="I264" s="16" t="s">
        <v>456</v>
      </c>
      <c r="J264" s="16">
        <v>225.5</v>
      </c>
      <c r="K264" s="34">
        <v>114.5</v>
      </c>
      <c r="L264" s="45">
        <v>60.0</v>
      </c>
      <c r="M264" s="22">
        <v>295.0</v>
      </c>
      <c r="N264" s="47">
        <f>+235</f>
        <v>235</v>
      </c>
      <c r="O264" s="39">
        <v>0.0</v>
      </c>
      <c r="P264" s="22">
        <v>3500.0</v>
      </c>
      <c r="Q264" s="22">
        <v>0.0</v>
      </c>
      <c r="R264" s="22"/>
      <c r="S264" s="22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30" t="str">
        <f t="shared" si="1"/>
        <v>Paul Reed</v>
      </c>
      <c r="B265" s="23" t="s">
        <v>571</v>
      </c>
      <c r="C265" s="39">
        <v>0.0</v>
      </c>
      <c r="D265" s="24"/>
      <c r="E265" s="23" t="s">
        <v>571</v>
      </c>
      <c r="F265" s="16">
        <v>2.0</v>
      </c>
      <c r="G265" s="33" t="s">
        <v>465</v>
      </c>
      <c r="H265" s="16" t="s">
        <v>272</v>
      </c>
      <c r="I265" s="16" t="s">
        <v>445</v>
      </c>
      <c r="J265" s="16">
        <v>225.5</v>
      </c>
      <c r="K265" s="34">
        <v>117.0</v>
      </c>
      <c r="L265" s="45">
        <v>55.0</v>
      </c>
      <c r="M265" s="22">
        <v>298.0</v>
      </c>
      <c r="N265" s="48">
        <f>+243</f>
        <v>243</v>
      </c>
      <c r="O265" s="39">
        <v>0.0</v>
      </c>
      <c r="P265" s="22">
        <v>3500.0</v>
      </c>
      <c r="Q265" s="22">
        <v>0.0</v>
      </c>
      <c r="R265" s="22"/>
      <c r="S265" s="22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30" t="str">
        <f t="shared" si="1"/>
        <v>Isaiah Joe</v>
      </c>
      <c r="B266" s="23" t="s">
        <v>572</v>
      </c>
      <c r="C266" s="39">
        <v>0.0</v>
      </c>
      <c r="D266" s="24"/>
      <c r="E266" s="23" t="s">
        <v>572</v>
      </c>
      <c r="F266" s="16">
        <v>2.0</v>
      </c>
      <c r="G266" s="33" t="s">
        <v>465</v>
      </c>
      <c r="H266" s="16" t="s">
        <v>311</v>
      </c>
      <c r="I266" s="16" t="s">
        <v>445</v>
      </c>
      <c r="J266" s="16">
        <v>225.5</v>
      </c>
      <c r="K266" s="34">
        <v>117.0</v>
      </c>
      <c r="L266" s="45">
        <v>63.0</v>
      </c>
      <c r="M266" s="22">
        <v>299.0</v>
      </c>
      <c r="N266" s="47">
        <f>+236</f>
        <v>236</v>
      </c>
      <c r="O266" s="39">
        <v>0.0</v>
      </c>
      <c r="P266" s="22">
        <v>3500.0</v>
      </c>
      <c r="Q266" s="22">
        <v>0.0</v>
      </c>
      <c r="R266" s="22"/>
      <c r="S266" s="22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30" t="str">
        <f t="shared" si="1"/>
        <v>Tyler Bey</v>
      </c>
      <c r="B267" s="23" t="s">
        <v>573</v>
      </c>
      <c r="C267" s="39">
        <v>0.0</v>
      </c>
      <c r="D267" s="24"/>
      <c r="E267" s="23" t="s">
        <v>573</v>
      </c>
      <c r="F267" s="16">
        <v>2.0</v>
      </c>
      <c r="G267" s="33" t="s">
        <v>455</v>
      </c>
      <c r="H267" s="16" t="s">
        <v>453</v>
      </c>
      <c r="I267" s="16" t="s">
        <v>456</v>
      </c>
      <c r="J267" s="16">
        <v>225.5</v>
      </c>
      <c r="K267" s="34">
        <v>114.5</v>
      </c>
      <c r="L267" s="45">
        <v>56.0</v>
      </c>
      <c r="M267" s="22">
        <v>301.0</v>
      </c>
      <c r="N267" s="47">
        <f>+245</f>
        <v>245</v>
      </c>
      <c r="O267" s="39">
        <v>0.0</v>
      </c>
      <c r="P267" s="22">
        <v>3500.0</v>
      </c>
      <c r="Q267" s="22">
        <v>0.0</v>
      </c>
      <c r="R267" s="22"/>
      <c r="S267" s="22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30" t="str">
        <f t="shared" si="1"/>
        <v>Jahmius Ramsey</v>
      </c>
      <c r="B268" s="23" t="s">
        <v>387</v>
      </c>
      <c r="C268" s="39">
        <v>0.0</v>
      </c>
      <c r="D268" s="24"/>
      <c r="E268" s="23" t="s">
        <v>387</v>
      </c>
      <c r="F268" s="16">
        <v>32.0</v>
      </c>
      <c r="G268" s="33" t="s">
        <v>429</v>
      </c>
      <c r="H268" s="16" t="s">
        <v>275</v>
      </c>
      <c r="I268" s="16" t="s">
        <v>431</v>
      </c>
      <c r="J268" s="16">
        <v>242.0</v>
      </c>
      <c r="K268" s="31">
        <v>120.0</v>
      </c>
      <c r="L268" s="45">
        <v>59.0</v>
      </c>
      <c r="M268" s="22">
        <v>302.0</v>
      </c>
      <c r="N268" s="47">
        <f>+243</f>
        <v>243</v>
      </c>
      <c r="O268" s="39">
        <v>0.0</v>
      </c>
      <c r="P268" s="22">
        <v>3500.0</v>
      </c>
      <c r="Q268" s="22">
        <v>0.0</v>
      </c>
      <c r="R268" s="22"/>
      <c r="S268" s="22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30" t="str">
        <f t="shared" si="1"/>
        <v>Reggie Perry</v>
      </c>
      <c r="B269" s="23" t="s">
        <v>574</v>
      </c>
      <c r="C269" s="39">
        <v>0.0</v>
      </c>
      <c r="D269" s="24"/>
      <c r="E269" s="23" t="s">
        <v>574</v>
      </c>
      <c r="F269" s="16">
        <v>1.0</v>
      </c>
      <c r="G269" s="33" t="s">
        <v>444</v>
      </c>
      <c r="H269" s="16" t="s">
        <v>302</v>
      </c>
      <c r="I269" s="16" t="s">
        <v>445</v>
      </c>
      <c r="J269" s="16">
        <v>225.5</v>
      </c>
      <c r="K269" s="16">
        <v>108.5</v>
      </c>
      <c r="L269" s="45">
        <v>71.0</v>
      </c>
      <c r="M269" s="22">
        <v>303.0</v>
      </c>
      <c r="N269" s="47">
        <f>+232</f>
        <v>232</v>
      </c>
      <c r="O269" s="39">
        <v>0.0</v>
      </c>
      <c r="P269" s="22">
        <v>3500.0</v>
      </c>
      <c r="Q269" s="22">
        <v>0.0</v>
      </c>
      <c r="R269" s="22"/>
      <c r="S269" s="22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30" t="str">
        <f t="shared" si="1"/>
        <v>Cassius Stanley</v>
      </c>
      <c r="B270" s="23" t="s">
        <v>575</v>
      </c>
      <c r="C270" s="39">
        <v>0.0</v>
      </c>
      <c r="D270" s="24"/>
      <c r="E270" s="23" t="s">
        <v>575</v>
      </c>
      <c r="F270" s="16">
        <v>1.0</v>
      </c>
      <c r="G270" s="33" t="s">
        <v>447</v>
      </c>
      <c r="H270" s="16" t="s">
        <v>453</v>
      </c>
      <c r="I270" s="16" t="s">
        <v>427</v>
      </c>
      <c r="J270" s="16">
        <v>234.0</v>
      </c>
      <c r="K270" s="34">
        <v>119.5</v>
      </c>
      <c r="L270" s="46">
        <v>84.0</v>
      </c>
      <c r="M270" s="22">
        <v>305.0</v>
      </c>
      <c r="N270" s="47">
        <f>+221</f>
        <v>221</v>
      </c>
      <c r="O270" s="39">
        <v>0.0</v>
      </c>
      <c r="P270" s="22">
        <v>3500.0</v>
      </c>
      <c r="Q270" s="22">
        <v>0.0</v>
      </c>
      <c r="R270" s="22"/>
      <c r="S270" s="22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30" t="str">
        <f t="shared" si="1"/>
        <v>Jalen Harris</v>
      </c>
      <c r="B271" s="23" t="s">
        <v>576</v>
      </c>
      <c r="C271" s="39">
        <v>0.0</v>
      </c>
      <c r="D271" s="24"/>
      <c r="E271" s="23" t="s">
        <v>576</v>
      </c>
      <c r="F271" s="16">
        <v>31.0</v>
      </c>
      <c r="G271" s="33" t="s">
        <v>435</v>
      </c>
      <c r="H271" s="16" t="s">
        <v>430</v>
      </c>
      <c r="I271" s="16" t="s">
        <v>436</v>
      </c>
      <c r="J271" s="16">
        <v>221.5</v>
      </c>
      <c r="K271" s="39">
        <v>108.0</v>
      </c>
      <c r="L271" s="45">
        <v>66.0</v>
      </c>
      <c r="M271" s="22">
        <v>306.0</v>
      </c>
      <c r="N271" s="47">
        <f>+240</f>
        <v>240</v>
      </c>
      <c r="O271" s="39">
        <v>0.0</v>
      </c>
      <c r="P271" s="22">
        <v>3500.0</v>
      </c>
      <c r="Q271" s="22">
        <v>0.0</v>
      </c>
      <c r="R271" s="22"/>
      <c r="S271" s="22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30" t="str">
        <f t="shared" si="1"/>
        <v>James Wiseman</v>
      </c>
      <c r="B272" s="23" t="s">
        <v>388</v>
      </c>
      <c r="C272" s="39">
        <v>0.0</v>
      </c>
      <c r="D272" s="24"/>
      <c r="E272" s="23" t="s">
        <v>388</v>
      </c>
      <c r="F272" s="16">
        <v>4.0</v>
      </c>
      <c r="G272" s="33" t="s">
        <v>463</v>
      </c>
      <c r="H272" s="16" t="s">
        <v>284</v>
      </c>
      <c r="I272" s="16" t="s">
        <v>460</v>
      </c>
      <c r="J272" s="16">
        <v>224.5</v>
      </c>
      <c r="K272" s="34">
        <v>118.0</v>
      </c>
      <c r="L272" s="22">
        <v>46.0</v>
      </c>
      <c r="M272" s="22">
        <v>141.0</v>
      </c>
      <c r="N272" s="49">
        <f>+95</f>
        <v>95</v>
      </c>
      <c r="O272" s="39">
        <v>0.0</v>
      </c>
      <c r="P272" s="22">
        <v>4500.0</v>
      </c>
      <c r="Q272" s="22">
        <v>0.0</v>
      </c>
      <c r="R272" s="22"/>
      <c r="S272" s="22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30" t="str">
        <f t="shared" si="1"/>
        <v>Robert Woodard</v>
      </c>
      <c r="B273" s="23" t="s">
        <v>389</v>
      </c>
      <c r="C273" s="39">
        <v>0.0</v>
      </c>
      <c r="D273" s="24"/>
      <c r="E273" s="23" t="s">
        <v>389</v>
      </c>
      <c r="F273" s="16">
        <v>12.0</v>
      </c>
      <c r="G273" s="33" t="s">
        <v>429</v>
      </c>
      <c r="H273" s="16" t="s">
        <v>313</v>
      </c>
      <c r="I273" s="16" t="s">
        <v>431</v>
      </c>
      <c r="J273" s="16">
        <v>242.0</v>
      </c>
      <c r="K273" s="31">
        <v>120.0</v>
      </c>
      <c r="L273" s="45">
        <v>69.0</v>
      </c>
      <c r="M273" s="22">
        <v>310.0</v>
      </c>
      <c r="N273" s="47">
        <f>+241</f>
        <v>241</v>
      </c>
      <c r="O273" s="39">
        <v>0.0</v>
      </c>
      <c r="P273" s="22">
        <v>3500.0</v>
      </c>
      <c r="Q273" s="22">
        <v>0.0</v>
      </c>
      <c r="R273" s="22"/>
      <c r="S273" s="22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30" t="str">
        <f t="shared" si="1"/>
        <v>Devon Dotson</v>
      </c>
      <c r="B274" s="23" t="s">
        <v>577</v>
      </c>
      <c r="C274" s="39">
        <v>0.0</v>
      </c>
      <c r="D274" s="24"/>
      <c r="E274" s="23" t="s">
        <v>577</v>
      </c>
      <c r="F274" s="16">
        <v>16.0</v>
      </c>
      <c r="G274" s="33" t="s">
        <v>441</v>
      </c>
      <c r="H274" s="16" t="s">
        <v>442</v>
      </c>
      <c r="I274" s="16" t="s">
        <v>423</v>
      </c>
      <c r="J274" s="16">
        <v>214.5</v>
      </c>
      <c r="K274" s="16">
        <v>112.0</v>
      </c>
      <c r="L274" s="46">
        <v>83.0</v>
      </c>
      <c r="M274" s="22">
        <v>311.0</v>
      </c>
      <c r="N274" s="48">
        <f>+228</f>
        <v>228</v>
      </c>
      <c r="O274" s="39">
        <v>0.0</v>
      </c>
      <c r="P274" s="22">
        <v>3500.0</v>
      </c>
      <c r="Q274" s="22">
        <v>0.0</v>
      </c>
      <c r="R274" s="22"/>
      <c r="S274" s="22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30" t="str">
        <f t="shared" si="1"/>
        <v>Sean McDermott</v>
      </c>
      <c r="B275" s="23" t="s">
        <v>578</v>
      </c>
      <c r="C275" s="39">
        <v>0.0</v>
      </c>
      <c r="D275" s="24"/>
      <c r="E275" s="23" t="s">
        <v>578</v>
      </c>
      <c r="F275" s="16">
        <v>7.0</v>
      </c>
      <c r="G275" s="33" t="s">
        <v>488</v>
      </c>
      <c r="H275" s="16" t="s">
        <v>262</v>
      </c>
      <c r="I275" s="16" t="s">
        <v>456</v>
      </c>
      <c r="J275" s="16">
        <v>225.5</v>
      </c>
      <c r="K275" s="16">
        <v>111.5</v>
      </c>
      <c r="L275" s="45">
        <v>57.0</v>
      </c>
      <c r="M275" s="22">
        <v>312.0</v>
      </c>
      <c r="N275" s="47">
        <f>+255</f>
        <v>255</v>
      </c>
      <c r="O275" s="39">
        <v>0.0</v>
      </c>
      <c r="P275" s="22">
        <v>3500.0</v>
      </c>
      <c r="Q275" s="22">
        <v>0.0</v>
      </c>
      <c r="R275" s="22"/>
      <c r="S275" s="22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30" t="str">
        <f t="shared" si="1"/>
        <v>Lamar Stevens</v>
      </c>
      <c r="B276" s="23" t="s">
        <v>390</v>
      </c>
      <c r="C276" s="39">
        <v>0.0</v>
      </c>
      <c r="D276" s="24"/>
      <c r="E276" s="23" t="s">
        <v>390</v>
      </c>
      <c r="F276" s="16">
        <v>3.0</v>
      </c>
      <c r="G276" s="33" t="s">
        <v>432</v>
      </c>
      <c r="H276" s="16" t="s">
        <v>442</v>
      </c>
      <c r="I276" s="16" t="s">
        <v>433</v>
      </c>
      <c r="J276" s="16">
        <v>212.5</v>
      </c>
      <c r="K276" s="39">
        <v>104.5</v>
      </c>
      <c r="L276" s="45">
        <v>68.0</v>
      </c>
      <c r="M276" s="22">
        <v>313.0</v>
      </c>
      <c r="N276" s="47">
        <f>+245</f>
        <v>245</v>
      </c>
      <c r="O276" s="39">
        <v>0.0</v>
      </c>
      <c r="P276" s="22">
        <v>3500.0</v>
      </c>
      <c r="Q276" s="22">
        <v>0.0</v>
      </c>
      <c r="R276" s="22"/>
      <c r="S276" s="22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30" t="str">
        <f t="shared" si="1"/>
        <v>Markus Howard</v>
      </c>
      <c r="B277" s="23" t="s">
        <v>579</v>
      </c>
      <c r="C277" s="39">
        <v>0.0</v>
      </c>
      <c r="D277" s="24"/>
      <c r="E277" s="23" t="s">
        <v>579</v>
      </c>
      <c r="F277" s="16">
        <v>3.0</v>
      </c>
      <c r="G277" s="33" t="s">
        <v>478</v>
      </c>
      <c r="H277" s="16" t="s">
        <v>262</v>
      </c>
      <c r="I277" s="16" t="s">
        <v>450</v>
      </c>
      <c r="J277" s="16">
        <v>209.0</v>
      </c>
      <c r="K277" s="39">
        <v>107.5</v>
      </c>
      <c r="L277" s="45">
        <v>67.0</v>
      </c>
      <c r="M277" s="22">
        <v>314.0</v>
      </c>
      <c r="N277" s="47">
        <f>+247</f>
        <v>247</v>
      </c>
      <c r="O277" s="39">
        <v>0.0</v>
      </c>
      <c r="P277" s="22">
        <v>3500.0</v>
      </c>
      <c r="Q277" s="22">
        <v>0.0</v>
      </c>
      <c r="R277" s="22"/>
      <c r="S277" s="22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30" t="str">
        <f t="shared" si="1"/>
        <v>LaMelo Ball</v>
      </c>
      <c r="B278" s="23" t="s">
        <v>580</v>
      </c>
      <c r="C278" s="39">
        <v>0.0</v>
      </c>
      <c r="D278" s="24"/>
      <c r="E278" s="23" t="s">
        <v>580</v>
      </c>
      <c r="F278" s="16">
        <v>25.0</v>
      </c>
      <c r="G278" s="33" t="s">
        <v>484</v>
      </c>
      <c r="H278" s="16" t="s">
        <v>295</v>
      </c>
      <c r="I278" s="16" t="s">
        <v>433</v>
      </c>
      <c r="J278" s="16">
        <v>212.5</v>
      </c>
      <c r="K278" s="39">
        <v>108.0</v>
      </c>
      <c r="L278" s="45">
        <v>71.0</v>
      </c>
      <c r="M278" s="22">
        <v>207.0</v>
      </c>
      <c r="N278" s="47">
        <f>+136</f>
        <v>136</v>
      </c>
      <c r="O278" s="39">
        <v>0.0</v>
      </c>
      <c r="P278" s="22">
        <v>3700.0</v>
      </c>
      <c r="Q278" s="22">
        <v>0.0</v>
      </c>
      <c r="R278" s="22"/>
      <c r="S278" s="22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30" t="str">
        <f t="shared" si="1"/>
        <v>Jay Scrubb</v>
      </c>
      <c r="B279" s="23" t="s">
        <v>581</v>
      </c>
      <c r="C279" s="39">
        <v>0.0</v>
      </c>
      <c r="D279" s="24"/>
      <c r="E279" s="23" t="s">
        <v>581</v>
      </c>
      <c r="F279" s="16" t="s">
        <v>382</v>
      </c>
      <c r="G279" s="33" t="s">
        <v>482</v>
      </c>
      <c r="H279" s="16" t="s">
        <v>258</v>
      </c>
      <c r="I279" s="16" t="s">
        <v>473</v>
      </c>
      <c r="J279" s="16">
        <v>216.5</v>
      </c>
      <c r="K279" s="16">
        <v>110.0</v>
      </c>
      <c r="L279" s="46">
        <v>82.0</v>
      </c>
      <c r="M279" s="22">
        <v>304.0</v>
      </c>
      <c r="N279" s="48">
        <f>+222</f>
        <v>222</v>
      </c>
      <c r="O279" s="39">
        <v>0.0</v>
      </c>
      <c r="P279" s="22">
        <v>3500.0</v>
      </c>
      <c r="Q279" s="22">
        <v>0.0</v>
      </c>
      <c r="R279" s="22"/>
      <c r="S279" s="22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30" t="str">
        <f t="shared" si="1"/>
        <v>Anthony Gill</v>
      </c>
      <c r="B280" s="23" t="s">
        <v>582</v>
      </c>
      <c r="C280" s="39">
        <v>0.0</v>
      </c>
      <c r="D280" s="24"/>
      <c r="E280" s="23" t="s">
        <v>582</v>
      </c>
      <c r="F280" s="16">
        <v>4.0</v>
      </c>
      <c r="G280" s="33" t="s">
        <v>462</v>
      </c>
      <c r="H280" s="16" t="s">
        <v>300</v>
      </c>
      <c r="I280" s="16" t="s">
        <v>431</v>
      </c>
      <c r="J280" s="16">
        <v>242.0</v>
      </c>
      <c r="K280" s="31">
        <v>122.5</v>
      </c>
      <c r="L280" s="45">
        <v>67.0</v>
      </c>
      <c r="M280" s="22">
        <v>291.0</v>
      </c>
      <c r="N280" s="47">
        <f>+224</f>
        <v>224</v>
      </c>
      <c r="O280" s="39">
        <v>0.0</v>
      </c>
      <c r="P280" s="22">
        <v>3500.0</v>
      </c>
      <c r="Q280" s="22">
        <v>0.0</v>
      </c>
      <c r="R280" s="22"/>
      <c r="S280" s="22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30" t="str">
        <f t="shared" si="1"/>
        <v>Anthony Lamb</v>
      </c>
      <c r="B281" s="23" t="s">
        <v>583</v>
      </c>
      <c r="C281" s="39">
        <v>0.0</v>
      </c>
      <c r="D281" s="24"/>
      <c r="E281" s="23" t="s">
        <v>583</v>
      </c>
      <c r="F281" s="16">
        <v>5.0</v>
      </c>
      <c r="G281" s="33" t="s">
        <v>425</v>
      </c>
      <c r="H281" s="16" t="s">
        <v>270</v>
      </c>
      <c r="I281" s="16" t="s">
        <v>427</v>
      </c>
      <c r="J281" s="16">
        <v>234.0</v>
      </c>
      <c r="K281" s="34">
        <v>115.0</v>
      </c>
      <c r="L281" s="45">
        <v>59.0</v>
      </c>
      <c r="M281" s="22">
        <v>290.0</v>
      </c>
      <c r="N281" s="47">
        <f>+231</f>
        <v>231</v>
      </c>
      <c r="O281" s="39">
        <v>0.0</v>
      </c>
      <c r="P281" s="22">
        <v>3500.0</v>
      </c>
      <c r="Q281" s="22">
        <v>0.0</v>
      </c>
      <c r="R281" s="22"/>
      <c r="S281" s="22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30" t="str">
        <f t="shared" si="1"/>
        <v>Killian Tillie</v>
      </c>
      <c r="B282" s="23" t="s">
        <v>584</v>
      </c>
      <c r="C282" s="39">
        <v>0.0</v>
      </c>
      <c r="D282" s="24"/>
      <c r="E282" s="23" t="s">
        <v>584</v>
      </c>
      <c r="F282" s="16">
        <v>7.0</v>
      </c>
      <c r="G282" s="33" t="s">
        <v>488</v>
      </c>
      <c r="H282" s="16" t="s">
        <v>258</v>
      </c>
      <c r="I282" s="16" t="s">
        <v>456</v>
      </c>
      <c r="J282" s="16">
        <v>225.5</v>
      </c>
      <c r="K282" s="16">
        <v>111.5</v>
      </c>
      <c r="L282" s="45">
        <v>66.0</v>
      </c>
      <c r="M282" s="22">
        <v>269.0</v>
      </c>
      <c r="N282" s="47">
        <f>+203</f>
        <v>203</v>
      </c>
      <c r="O282" s="39">
        <v>0.0</v>
      </c>
      <c r="P282" s="22">
        <v>3500.0</v>
      </c>
      <c r="Q282" s="22">
        <v>0.0</v>
      </c>
      <c r="R282" s="22"/>
      <c r="S282" s="22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30" t="str">
        <f t="shared" si="1"/>
        <v>Mason Jones</v>
      </c>
      <c r="B283" s="23" t="s">
        <v>585</v>
      </c>
      <c r="C283" s="39">
        <v>0.0</v>
      </c>
      <c r="D283" s="24"/>
      <c r="E283" s="23" t="s">
        <v>585</v>
      </c>
      <c r="F283" s="16">
        <v>2.0</v>
      </c>
      <c r="G283" s="33" t="s">
        <v>465</v>
      </c>
      <c r="H283" s="16" t="s">
        <v>318</v>
      </c>
      <c r="I283" s="16" t="s">
        <v>445</v>
      </c>
      <c r="J283" s="16">
        <v>225.5</v>
      </c>
      <c r="K283" s="34">
        <v>117.0</v>
      </c>
      <c r="L283" s="46">
        <v>79.0</v>
      </c>
      <c r="M283" s="22">
        <v>270.0</v>
      </c>
      <c r="N283" s="47">
        <f>+191</f>
        <v>191</v>
      </c>
      <c r="O283" s="39">
        <v>0.0</v>
      </c>
      <c r="P283" s="22">
        <v>3500.0</v>
      </c>
      <c r="Q283" s="22">
        <v>0.0</v>
      </c>
      <c r="R283" s="22"/>
      <c r="S283" s="22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30" t="str">
        <f t="shared" si="1"/>
        <v>Karim Mane</v>
      </c>
      <c r="B284" s="23" t="s">
        <v>586</v>
      </c>
      <c r="C284" s="39">
        <v>0.0</v>
      </c>
      <c r="D284" s="24"/>
      <c r="E284" s="23" t="s">
        <v>586</v>
      </c>
      <c r="F284" s="16">
        <v>2.0</v>
      </c>
      <c r="G284" s="33" t="s">
        <v>422</v>
      </c>
      <c r="H284" s="16" t="s">
        <v>337</v>
      </c>
      <c r="I284" s="16" t="s">
        <v>423</v>
      </c>
      <c r="J284" s="16">
        <v>214.5</v>
      </c>
      <c r="K284" s="41">
        <v>102.5</v>
      </c>
      <c r="L284" s="46">
        <v>73.0</v>
      </c>
      <c r="M284" s="22">
        <v>271.0</v>
      </c>
      <c r="N284" s="47">
        <f>+198</f>
        <v>198</v>
      </c>
      <c r="O284" s="39">
        <v>0.0</v>
      </c>
      <c r="P284" s="22">
        <v>3500.0</v>
      </c>
      <c r="Q284" s="22">
        <v>0.0</v>
      </c>
      <c r="R284" s="22"/>
      <c r="S284" s="22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30" t="str">
        <f t="shared" si="1"/>
        <v>Nate Darling</v>
      </c>
      <c r="B285" s="23" t="s">
        <v>587</v>
      </c>
      <c r="C285" s="39">
        <v>0.0</v>
      </c>
      <c r="D285" s="24"/>
      <c r="E285" s="23" t="s">
        <v>587</v>
      </c>
      <c r="F285" s="16">
        <v>1.0</v>
      </c>
      <c r="G285" s="33" t="s">
        <v>484</v>
      </c>
      <c r="H285" s="16" t="s">
        <v>430</v>
      </c>
      <c r="I285" s="16" t="s">
        <v>433</v>
      </c>
      <c r="J285" s="16">
        <v>212.5</v>
      </c>
      <c r="K285" s="39">
        <v>108.0</v>
      </c>
      <c r="L285" s="46">
        <v>77.0</v>
      </c>
      <c r="M285" s="22">
        <v>272.0</v>
      </c>
      <c r="N285" s="47">
        <f>+195</f>
        <v>195</v>
      </c>
      <c r="O285" s="39">
        <v>0.0</v>
      </c>
      <c r="P285" s="22">
        <v>3500.0</v>
      </c>
      <c r="Q285" s="22">
        <v>0.0</v>
      </c>
      <c r="R285" s="22"/>
      <c r="S285" s="22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30" t="str">
        <f t="shared" si="1"/>
        <v>Brodric Thomas</v>
      </c>
      <c r="B286" s="23" t="s">
        <v>394</v>
      </c>
      <c r="C286" s="39">
        <v>0.0</v>
      </c>
      <c r="D286" s="24"/>
      <c r="E286" s="23" t="s">
        <v>394</v>
      </c>
      <c r="F286" s="16" t="s">
        <v>382</v>
      </c>
      <c r="G286" s="33" t="s">
        <v>432</v>
      </c>
      <c r="H286" s="16" t="s">
        <v>300</v>
      </c>
      <c r="I286" s="16" t="s">
        <v>433</v>
      </c>
      <c r="J286" s="16">
        <v>212.5</v>
      </c>
      <c r="K286" s="39">
        <v>104.5</v>
      </c>
      <c r="L286" s="46">
        <v>76.0</v>
      </c>
      <c r="M286" s="22">
        <v>273.0</v>
      </c>
      <c r="N286" s="47">
        <f>+197</f>
        <v>197</v>
      </c>
      <c r="O286" s="39">
        <v>0.0</v>
      </c>
      <c r="P286" s="22">
        <v>3500.0</v>
      </c>
      <c r="Q286" s="22">
        <v>0.0</v>
      </c>
      <c r="R286" s="22"/>
      <c r="S286" s="22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30" t="str">
        <f t="shared" si="1"/>
        <v>Nate Hinton</v>
      </c>
      <c r="B287" s="23" t="s">
        <v>588</v>
      </c>
      <c r="C287" s="39">
        <v>0.0</v>
      </c>
      <c r="D287" s="24"/>
      <c r="E287" s="23" t="s">
        <v>588</v>
      </c>
      <c r="F287" s="16">
        <v>2.0</v>
      </c>
      <c r="G287" s="33" t="s">
        <v>455</v>
      </c>
      <c r="H287" s="16" t="s">
        <v>272</v>
      </c>
      <c r="I287" s="16" t="s">
        <v>456</v>
      </c>
      <c r="J287" s="16">
        <v>225.5</v>
      </c>
      <c r="K287" s="34">
        <v>114.5</v>
      </c>
      <c r="L287" s="46">
        <v>73.0</v>
      </c>
      <c r="M287" s="22">
        <v>274.0</v>
      </c>
      <c r="N287" s="47">
        <f>+201</f>
        <v>201</v>
      </c>
      <c r="O287" s="39">
        <v>0.0</v>
      </c>
      <c r="P287" s="22">
        <v>3500.0</v>
      </c>
      <c r="Q287" s="22">
        <v>0.0</v>
      </c>
      <c r="R287" s="22"/>
      <c r="S287" s="22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30" t="str">
        <f t="shared" si="1"/>
        <v>Josh Hall</v>
      </c>
      <c r="B288" s="23" t="s">
        <v>589</v>
      </c>
      <c r="C288" s="39">
        <v>0.0</v>
      </c>
      <c r="D288" s="24"/>
      <c r="E288" s="23" t="s">
        <v>589</v>
      </c>
      <c r="F288" s="16">
        <v>1.0</v>
      </c>
      <c r="G288" s="33" t="s">
        <v>459</v>
      </c>
      <c r="H288" s="16" t="s">
        <v>291</v>
      </c>
      <c r="I288" s="16" t="s">
        <v>460</v>
      </c>
      <c r="J288" s="16">
        <v>224.5</v>
      </c>
      <c r="K288" s="39">
        <v>106.5</v>
      </c>
      <c r="L288" s="45">
        <v>60.0</v>
      </c>
      <c r="M288" s="22">
        <v>275.0</v>
      </c>
      <c r="N288" s="47">
        <f>+215</f>
        <v>215</v>
      </c>
      <c r="O288" s="39">
        <v>0.0</v>
      </c>
      <c r="P288" s="22">
        <v>3500.0</v>
      </c>
      <c r="Q288" s="22">
        <v>0.0</v>
      </c>
      <c r="R288" s="22"/>
      <c r="S288" s="22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30" t="str">
        <f t="shared" si="1"/>
        <v>Malik Fitts</v>
      </c>
      <c r="B289" s="23" t="s">
        <v>590</v>
      </c>
      <c r="C289" s="39">
        <v>0.0</v>
      </c>
      <c r="D289" s="24"/>
      <c r="E289" s="23" t="s">
        <v>590</v>
      </c>
      <c r="F289" s="16">
        <v>1.0</v>
      </c>
      <c r="G289" s="33" t="s">
        <v>482</v>
      </c>
      <c r="H289" s="16" t="s">
        <v>486</v>
      </c>
      <c r="I289" s="16" t="s">
        <v>473</v>
      </c>
      <c r="J289" s="16">
        <v>216.5</v>
      </c>
      <c r="K289" s="16">
        <v>110.0</v>
      </c>
      <c r="L289" s="45">
        <v>63.0</v>
      </c>
      <c r="M289" s="22">
        <v>276.0</v>
      </c>
      <c r="N289" s="47">
        <f>+213</f>
        <v>213</v>
      </c>
      <c r="O289" s="39">
        <v>0.0</v>
      </c>
      <c r="P289" s="22">
        <v>3500.0</v>
      </c>
      <c r="Q289" s="22">
        <v>0.0</v>
      </c>
      <c r="R289" s="22"/>
      <c r="S289" s="22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30" t="str">
        <f t="shared" si="1"/>
        <v>Freddie Gillespie</v>
      </c>
      <c r="B290" s="23" t="s">
        <v>591</v>
      </c>
      <c r="C290" s="39">
        <v>0.0</v>
      </c>
      <c r="D290" s="24"/>
      <c r="E290" s="23" t="s">
        <v>591</v>
      </c>
      <c r="F290" s="16" t="s">
        <v>382</v>
      </c>
      <c r="G290" s="33" t="s">
        <v>435</v>
      </c>
      <c r="H290" s="16" t="s">
        <v>298</v>
      </c>
      <c r="I290" s="16" t="s">
        <v>436</v>
      </c>
      <c r="J290" s="16">
        <v>221.5</v>
      </c>
      <c r="K290" s="39">
        <v>108.0</v>
      </c>
      <c r="L290" s="46">
        <v>77.0</v>
      </c>
      <c r="M290" s="22">
        <v>277.0</v>
      </c>
      <c r="N290" s="47">
        <f>+200</f>
        <v>200</v>
      </c>
      <c r="O290" s="39">
        <v>0.0</v>
      </c>
      <c r="P290" s="22">
        <v>3500.0</v>
      </c>
      <c r="Q290" s="22">
        <v>0.0</v>
      </c>
      <c r="R290" s="22"/>
      <c r="S290" s="22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30" t="str">
        <f t="shared" si="1"/>
        <v>Gabriel Deck</v>
      </c>
      <c r="B291" s="23" t="s">
        <v>592</v>
      </c>
      <c r="C291" s="39">
        <v>0.0</v>
      </c>
      <c r="D291" s="24"/>
      <c r="E291" s="23" t="s">
        <v>592</v>
      </c>
      <c r="F291" s="16" t="s">
        <v>382</v>
      </c>
      <c r="G291" s="33" t="s">
        <v>459</v>
      </c>
      <c r="H291" s="16" t="s">
        <v>291</v>
      </c>
      <c r="I291" s="16" t="s">
        <v>460</v>
      </c>
      <c r="J291" s="16">
        <v>224.5</v>
      </c>
      <c r="K291" s="39">
        <v>106.5</v>
      </c>
      <c r="L291" s="45">
        <v>61.0</v>
      </c>
      <c r="M291" s="22">
        <v>366.0</v>
      </c>
      <c r="N291" s="47">
        <f>+305</f>
        <v>305</v>
      </c>
      <c r="O291" s="39">
        <v>0.0</v>
      </c>
      <c r="P291" s="22">
        <v>0.0</v>
      </c>
      <c r="Q291" s="22">
        <v>0.0</v>
      </c>
      <c r="R291" s="22"/>
      <c r="S291" s="22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30" t="str">
        <f t="shared" si="1"/>
        <v>Spencer Dinwiddie</v>
      </c>
      <c r="B292" s="23" t="s">
        <v>593</v>
      </c>
      <c r="C292" s="39">
        <v>0.0</v>
      </c>
      <c r="D292" s="24"/>
      <c r="E292" s="23" t="s">
        <v>593</v>
      </c>
      <c r="F292" s="16">
        <v>108.0</v>
      </c>
      <c r="G292" s="33" t="s">
        <v>444</v>
      </c>
      <c r="H292" s="16" t="s">
        <v>277</v>
      </c>
      <c r="I292" s="16" t="s">
        <v>445</v>
      </c>
      <c r="J292" s="16">
        <v>225.5</v>
      </c>
      <c r="K292" s="16">
        <v>108.5</v>
      </c>
      <c r="L292" s="45">
        <v>71.0</v>
      </c>
      <c r="M292" s="22">
        <v>214.0</v>
      </c>
      <c r="N292" s="47">
        <f>+143</f>
        <v>143</v>
      </c>
      <c r="O292" s="39">
        <v>0.0</v>
      </c>
      <c r="P292" s="22">
        <v>3600.0</v>
      </c>
      <c r="Q292" s="22">
        <v>0.0</v>
      </c>
      <c r="R292" s="22"/>
      <c r="S292" s="22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30" t="str">
        <f t="shared" si="1"/>
        <v>Otto Porter</v>
      </c>
      <c r="B293" s="23" t="s">
        <v>594</v>
      </c>
      <c r="C293" s="39">
        <v>0.0</v>
      </c>
      <c r="D293" s="24"/>
      <c r="E293" s="23" t="s">
        <v>594</v>
      </c>
      <c r="F293" s="16">
        <v>13.0</v>
      </c>
      <c r="G293" s="33" t="s">
        <v>422</v>
      </c>
      <c r="H293" s="16" t="s">
        <v>313</v>
      </c>
      <c r="I293" s="16" t="s">
        <v>423</v>
      </c>
      <c r="J293" s="16">
        <v>214.5</v>
      </c>
      <c r="K293" s="41">
        <v>102.5</v>
      </c>
      <c r="L293" s="45">
        <v>62.0</v>
      </c>
      <c r="M293" s="22">
        <v>133.0</v>
      </c>
      <c r="N293" s="49">
        <f>+71</f>
        <v>71</v>
      </c>
      <c r="O293" s="39">
        <v>0.0</v>
      </c>
      <c r="P293" s="22">
        <v>4600.0</v>
      </c>
      <c r="Q293" s="22">
        <v>0.0</v>
      </c>
      <c r="R293" s="22"/>
      <c r="S293" s="22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30" t="str">
        <f t="shared" si="1"/>
        <v>Victor Oladipo</v>
      </c>
      <c r="B294" s="23" t="s">
        <v>595</v>
      </c>
      <c r="C294" s="39">
        <v>0.0</v>
      </c>
      <c r="D294" s="24"/>
      <c r="E294" s="23" t="s">
        <v>595</v>
      </c>
      <c r="F294" s="16">
        <v>6.0</v>
      </c>
      <c r="G294" s="33" t="s">
        <v>449</v>
      </c>
      <c r="H294" s="16" t="s">
        <v>298</v>
      </c>
      <c r="I294" s="16" t="s">
        <v>450</v>
      </c>
      <c r="J294" s="16">
        <v>209.0</v>
      </c>
      <c r="K294" s="41">
        <v>101.5</v>
      </c>
      <c r="L294" s="45">
        <v>70.0</v>
      </c>
      <c r="M294" s="22">
        <v>63.0</v>
      </c>
      <c r="N294" s="39">
        <v>-7.0</v>
      </c>
      <c r="O294" s="39">
        <v>0.0</v>
      </c>
      <c r="P294" s="22">
        <v>6100.0</v>
      </c>
      <c r="Q294" s="22">
        <v>0.0</v>
      </c>
      <c r="R294" s="22"/>
      <c r="S294" s="22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30" t="str">
        <f t="shared" si="1"/>
        <v>Rodney McGruder</v>
      </c>
      <c r="B295" s="23" t="s">
        <v>596</v>
      </c>
      <c r="C295" s="39">
        <v>0.0</v>
      </c>
      <c r="D295" s="24"/>
      <c r="E295" s="23" t="s">
        <v>596</v>
      </c>
      <c r="F295" s="16">
        <v>19.0</v>
      </c>
      <c r="G295" s="33" t="s">
        <v>472</v>
      </c>
      <c r="H295" s="16" t="s">
        <v>266</v>
      </c>
      <c r="I295" s="16" t="s">
        <v>473</v>
      </c>
      <c r="J295" s="16">
        <v>216.5</v>
      </c>
      <c r="K295" s="39">
        <v>107.0</v>
      </c>
      <c r="L295" s="46">
        <v>78.0</v>
      </c>
      <c r="M295" s="22">
        <v>280.0</v>
      </c>
      <c r="N295" s="47">
        <f>+202</f>
        <v>202</v>
      </c>
      <c r="O295" s="39">
        <v>0.0</v>
      </c>
      <c r="P295" s="22">
        <v>3500.0</v>
      </c>
      <c r="Q295" s="22">
        <v>0.0</v>
      </c>
      <c r="R295" s="22"/>
      <c r="S295" s="22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30" t="str">
        <f t="shared" si="1"/>
        <v>Gorgui Dieng</v>
      </c>
      <c r="B296" s="23" t="s">
        <v>597</v>
      </c>
      <c r="C296" s="39">
        <v>0.0</v>
      </c>
      <c r="D296" s="24"/>
      <c r="E296" s="23" t="s">
        <v>597</v>
      </c>
      <c r="F296" s="16">
        <v>7.0</v>
      </c>
      <c r="G296" s="33" t="s">
        <v>510</v>
      </c>
      <c r="H296" s="16" t="s">
        <v>305</v>
      </c>
      <c r="I296" s="16" t="s">
        <v>436</v>
      </c>
      <c r="J296" s="16">
        <v>221.5</v>
      </c>
      <c r="K296" s="16">
        <v>113.5</v>
      </c>
      <c r="L296" s="22">
        <v>45.0</v>
      </c>
      <c r="M296" s="22">
        <v>281.0</v>
      </c>
      <c r="N296" s="47">
        <f>+236</f>
        <v>236</v>
      </c>
      <c r="O296" s="39">
        <v>0.0</v>
      </c>
      <c r="P296" s="22">
        <v>3500.0</v>
      </c>
      <c r="Q296" s="22">
        <v>0.0</v>
      </c>
      <c r="R296" s="22"/>
      <c r="S296" s="22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30" t="str">
        <f t="shared" si="1"/>
        <v>John Henson</v>
      </c>
      <c r="B297" s="23" t="s">
        <v>598</v>
      </c>
      <c r="C297" s="39">
        <v>0.0</v>
      </c>
      <c r="D297" s="24"/>
      <c r="E297" s="23" t="s">
        <v>598</v>
      </c>
      <c r="F297" s="16" t="s">
        <v>382</v>
      </c>
      <c r="G297" s="33" t="s">
        <v>438</v>
      </c>
      <c r="H297" s="16" t="s">
        <v>295</v>
      </c>
      <c r="I297" s="16" t="s">
        <v>439</v>
      </c>
      <c r="J297" s="16">
        <v>219.5</v>
      </c>
      <c r="K297" s="16">
        <v>108.5</v>
      </c>
      <c r="L297" s="22">
        <v>44.0</v>
      </c>
      <c r="M297" s="22">
        <v>286.0</v>
      </c>
      <c r="N297" s="47">
        <f>+242</f>
        <v>242</v>
      </c>
      <c r="O297" s="39">
        <v>0.0</v>
      </c>
      <c r="P297" s="22">
        <v>3500.0</v>
      </c>
      <c r="Q297" s="22">
        <v>0.0</v>
      </c>
      <c r="R297" s="22"/>
      <c r="S297" s="22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30" t="str">
        <f t="shared" si="1"/>
        <v>Tim Frazier</v>
      </c>
      <c r="B298" s="23" t="s">
        <v>599</v>
      </c>
      <c r="C298" s="39">
        <v>0.0</v>
      </c>
      <c r="D298" s="24"/>
      <c r="E298" s="23" t="s">
        <v>599</v>
      </c>
      <c r="F298" s="16">
        <v>91.0</v>
      </c>
      <c r="G298" s="33" t="s">
        <v>488</v>
      </c>
      <c r="H298" s="16" t="s">
        <v>308</v>
      </c>
      <c r="I298" s="16" t="s">
        <v>456</v>
      </c>
      <c r="J298" s="16">
        <v>225.5</v>
      </c>
      <c r="K298" s="16">
        <v>111.5</v>
      </c>
      <c r="L298" s="22">
        <v>49.0</v>
      </c>
      <c r="M298" s="22">
        <v>287.0</v>
      </c>
      <c r="N298" s="47">
        <f>+238</f>
        <v>238</v>
      </c>
      <c r="O298" s="39">
        <v>0.0</v>
      </c>
      <c r="P298" s="22">
        <v>3500.0</v>
      </c>
      <c r="Q298" s="22">
        <v>0.0</v>
      </c>
      <c r="R298" s="22"/>
      <c r="S298" s="22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30" t="str">
        <f t="shared" si="1"/>
        <v>JaKarr Sampson</v>
      </c>
      <c r="B299" s="23" t="s">
        <v>600</v>
      </c>
      <c r="C299" s="39">
        <v>0.0</v>
      </c>
      <c r="D299" s="24"/>
      <c r="E299" s="23" t="s">
        <v>600</v>
      </c>
      <c r="F299" s="16">
        <v>7.0</v>
      </c>
      <c r="G299" s="33" t="s">
        <v>447</v>
      </c>
      <c r="H299" s="16" t="s">
        <v>291</v>
      </c>
      <c r="I299" s="16" t="s">
        <v>427</v>
      </c>
      <c r="J299" s="16">
        <v>234.0</v>
      </c>
      <c r="K299" s="34">
        <v>119.5</v>
      </c>
      <c r="L299" s="45">
        <v>70.0</v>
      </c>
      <c r="M299" s="22">
        <v>288.0</v>
      </c>
      <c r="N299" s="47">
        <f>+218</f>
        <v>218</v>
      </c>
      <c r="O299" s="39">
        <v>0.0</v>
      </c>
      <c r="P299" s="22">
        <v>3500.0</v>
      </c>
      <c r="Q299" s="22">
        <v>0.0</v>
      </c>
      <c r="R299" s="22"/>
      <c r="S299" s="22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30" t="str">
        <f t="shared" si="1"/>
        <v>Dwight Powell</v>
      </c>
      <c r="B300" s="23" t="s">
        <v>601</v>
      </c>
      <c r="C300" s="39">
        <v>0.0</v>
      </c>
      <c r="D300" s="24"/>
      <c r="E300" s="23" t="s">
        <v>601</v>
      </c>
      <c r="F300" s="16">
        <v>2.0</v>
      </c>
      <c r="G300" s="33" t="s">
        <v>455</v>
      </c>
      <c r="H300" s="16" t="s">
        <v>289</v>
      </c>
      <c r="I300" s="16" t="s">
        <v>456</v>
      </c>
      <c r="J300" s="16">
        <v>225.5</v>
      </c>
      <c r="K300" s="34">
        <v>114.5</v>
      </c>
      <c r="L300" s="22">
        <v>43.0</v>
      </c>
      <c r="M300" s="22">
        <v>289.0</v>
      </c>
      <c r="N300" s="47">
        <f>+246</f>
        <v>246</v>
      </c>
      <c r="O300" s="39">
        <v>0.0</v>
      </c>
      <c r="P300" s="22">
        <v>3500.0</v>
      </c>
      <c r="Q300" s="22">
        <v>0.0</v>
      </c>
      <c r="R300" s="22"/>
      <c r="S300" s="22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30" t="str">
        <f t="shared" si="1"/>
        <v>Chasson Randle</v>
      </c>
      <c r="B301" s="23" t="s">
        <v>602</v>
      </c>
      <c r="C301" s="39">
        <v>0.0</v>
      </c>
      <c r="D301" s="24"/>
      <c r="E301" s="23" t="s">
        <v>602</v>
      </c>
      <c r="F301" s="16">
        <v>2.0</v>
      </c>
      <c r="G301" s="33" t="s">
        <v>422</v>
      </c>
      <c r="H301" s="16" t="s">
        <v>467</v>
      </c>
      <c r="I301" s="16" t="s">
        <v>423</v>
      </c>
      <c r="J301" s="16">
        <v>214.5</v>
      </c>
      <c r="K301" s="41">
        <v>102.5</v>
      </c>
      <c r="L301" s="45">
        <v>67.0</v>
      </c>
      <c r="M301" s="22">
        <v>315.0</v>
      </c>
      <c r="N301" s="47">
        <f>+248</f>
        <v>248</v>
      </c>
      <c r="O301" s="39">
        <v>0.0</v>
      </c>
      <c r="P301" s="22">
        <v>3500.0</v>
      </c>
      <c r="Q301" s="22">
        <v>0.0</v>
      </c>
      <c r="R301" s="22"/>
      <c r="S301" s="22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30" t="str">
        <f t="shared" si="1"/>
        <v>Dewayne Dedmon</v>
      </c>
      <c r="B302" s="23" t="s">
        <v>603</v>
      </c>
      <c r="C302" s="39">
        <v>0.0</v>
      </c>
      <c r="D302" s="24"/>
      <c r="E302" s="23" t="s">
        <v>603</v>
      </c>
      <c r="F302" s="16" t="s">
        <v>382</v>
      </c>
      <c r="G302" s="33" t="s">
        <v>449</v>
      </c>
      <c r="H302" s="16" t="s">
        <v>311</v>
      </c>
      <c r="I302" s="16" t="s">
        <v>450</v>
      </c>
      <c r="J302" s="16">
        <v>209.0</v>
      </c>
      <c r="K302" s="41">
        <v>101.5</v>
      </c>
      <c r="L302" s="22">
        <v>42.0</v>
      </c>
      <c r="M302" s="22">
        <v>168.0</v>
      </c>
      <c r="N302" s="47">
        <f>+126</f>
        <v>126</v>
      </c>
      <c r="O302" s="39">
        <v>0.0</v>
      </c>
      <c r="P302" s="22">
        <v>4000.0</v>
      </c>
      <c r="Q302" s="22">
        <v>0.0</v>
      </c>
      <c r="R302" s="22"/>
      <c r="S302" s="22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30" t="str">
        <f t="shared" si="1"/>
        <v>James Nunnally</v>
      </c>
      <c r="B303" s="23" t="s">
        <v>604</v>
      </c>
      <c r="C303" s="39">
        <v>0.0</v>
      </c>
      <c r="D303" s="24"/>
      <c r="E303" s="23" t="s">
        <v>604</v>
      </c>
      <c r="F303" s="16" t="s">
        <v>382</v>
      </c>
      <c r="G303" s="33" t="s">
        <v>452</v>
      </c>
      <c r="H303" s="16" t="s">
        <v>295</v>
      </c>
      <c r="I303" s="16" t="s">
        <v>439</v>
      </c>
      <c r="J303" s="16">
        <v>219.5</v>
      </c>
      <c r="K303" s="16">
        <v>111.5</v>
      </c>
      <c r="L303" s="45">
        <v>68.0</v>
      </c>
      <c r="M303" s="22">
        <v>345.0</v>
      </c>
      <c r="N303" s="48">
        <f>+277</f>
        <v>277</v>
      </c>
      <c r="O303" s="39">
        <v>0.0</v>
      </c>
      <c r="P303" s="22">
        <v>3500.0</v>
      </c>
      <c r="Q303" s="22">
        <v>0.0</v>
      </c>
      <c r="R303" s="22"/>
      <c r="S303" s="22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30" t="str">
        <f t="shared" si="1"/>
        <v>Tyler Johnson</v>
      </c>
      <c r="B304" s="23" t="s">
        <v>605</v>
      </c>
      <c r="C304" s="39">
        <v>0.0</v>
      </c>
      <c r="D304" s="24"/>
      <c r="E304" s="23" t="s">
        <v>605</v>
      </c>
      <c r="F304" s="16">
        <v>10.0</v>
      </c>
      <c r="G304" s="33" t="s">
        <v>444</v>
      </c>
      <c r="H304" s="16" t="s">
        <v>467</v>
      </c>
      <c r="I304" s="16" t="s">
        <v>445</v>
      </c>
      <c r="J304" s="16">
        <v>225.5</v>
      </c>
      <c r="K304" s="16">
        <v>108.5</v>
      </c>
      <c r="L304" s="45">
        <v>72.0</v>
      </c>
      <c r="M304" s="22">
        <v>193.0</v>
      </c>
      <c r="N304" s="47">
        <f>+121</f>
        <v>121</v>
      </c>
      <c r="O304" s="39">
        <v>0.0</v>
      </c>
      <c r="P304" s="22">
        <v>3800.0</v>
      </c>
      <c r="Q304" s="22">
        <v>0.0</v>
      </c>
      <c r="R304" s="22"/>
      <c r="S304" s="22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30" t="str">
        <f t="shared" si="1"/>
        <v>TJ Warren</v>
      </c>
      <c r="B305" s="23" t="s">
        <v>606</v>
      </c>
      <c r="C305" s="39">
        <v>0.0</v>
      </c>
      <c r="D305" s="24"/>
      <c r="E305" s="23" t="s">
        <v>606</v>
      </c>
      <c r="F305" s="16">
        <v>106.0</v>
      </c>
      <c r="G305" s="33" t="s">
        <v>447</v>
      </c>
      <c r="H305" s="16" t="s">
        <v>289</v>
      </c>
      <c r="I305" s="16" t="s">
        <v>427</v>
      </c>
      <c r="J305" s="16">
        <v>234.0</v>
      </c>
      <c r="K305" s="34">
        <v>119.5</v>
      </c>
      <c r="L305" s="45">
        <v>70.0</v>
      </c>
      <c r="M305" s="22">
        <v>180.0</v>
      </c>
      <c r="N305" s="47">
        <f>+110</f>
        <v>110</v>
      </c>
      <c r="O305" s="39">
        <v>0.0</v>
      </c>
      <c r="P305" s="22">
        <v>4000.0</v>
      </c>
      <c r="Q305" s="22">
        <v>0.0</v>
      </c>
      <c r="R305" s="22"/>
      <c r="S305" s="22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30" t="str">
        <f t="shared" si="1"/>
        <v>Danuel House</v>
      </c>
      <c r="B306" s="23" t="s">
        <v>607</v>
      </c>
      <c r="C306" s="39">
        <v>0.0</v>
      </c>
      <c r="D306" s="24"/>
      <c r="E306" s="23" t="s">
        <v>607</v>
      </c>
      <c r="F306" s="16">
        <v>10.0</v>
      </c>
      <c r="G306" s="33" t="s">
        <v>425</v>
      </c>
      <c r="H306" s="16" t="s">
        <v>270</v>
      </c>
      <c r="I306" s="16" t="s">
        <v>427</v>
      </c>
      <c r="J306" s="16">
        <v>234.0</v>
      </c>
      <c r="K306" s="34">
        <v>115.0</v>
      </c>
      <c r="L306" s="45">
        <v>71.0</v>
      </c>
      <c r="M306" s="22">
        <v>348.0</v>
      </c>
      <c r="N306" s="47">
        <f>+277</f>
        <v>277</v>
      </c>
      <c r="O306" s="39">
        <v>0.0</v>
      </c>
      <c r="P306" s="22">
        <v>3500.0</v>
      </c>
      <c r="Q306" s="22">
        <v>0.0</v>
      </c>
      <c r="R306" s="22"/>
      <c r="S306" s="22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30" t="str">
        <f t="shared" si="1"/>
        <v>Richaun Holmes</v>
      </c>
      <c r="B307" s="23" t="s">
        <v>608</v>
      </c>
      <c r="C307" s="39">
        <v>0.0</v>
      </c>
      <c r="D307" s="24"/>
      <c r="E307" s="23" t="s">
        <v>608</v>
      </c>
      <c r="F307" s="16">
        <v>2.0</v>
      </c>
      <c r="G307" s="33" t="s">
        <v>429</v>
      </c>
      <c r="H307" s="16" t="s">
        <v>453</v>
      </c>
      <c r="I307" s="16" t="s">
        <v>431</v>
      </c>
      <c r="J307" s="16">
        <v>242.0</v>
      </c>
      <c r="K307" s="31">
        <v>120.0</v>
      </c>
      <c r="L307" s="22">
        <v>41.0</v>
      </c>
      <c r="M307" s="22">
        <v>50.0</v>
      </c>
      <c r="N307" s="50">
        <f>+9</f>
        <v>9</v>
      </c>
      <c r="O307" s="39">
        <v>0.0</v>
      </c>
      <c r="P307" s="22">
        <v>6700.0</v>
      </c>
      <c r="Q307" s="22">
        <v>0.0</v>
      </c>
      <c r="R307" s="22"/>
      <c r="S307" s="22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30" t="str">
        <f t="shared" si="1"/>
        <v>Damyean Dotson</v>
      </c>
      <c r="B308" s="23" t="s">
        <v>404</v>
      </c>
      <c r="C308" s="39">
        <v>0.0</v>
      </c>
      <c r="D308" s="24"/>
      <c r="E308" s="23" t="s">
        <v>404</v>
      </c>
      <c r="F308" s="16">
        <v>16.0</v>
      </c>
      <c r="G308" s="33" t="s">
        <v>432</v>
      </c>
      <c r="H308" s="16" t="s">
        <v>318</v>
      </c>
      <c r="I308" s="16" t="s">
        <v>433</v>
      </c>
      <c r="J308" s="16">
        <v>212.5</v>
      </c>
      <c r="K308" s="39">
        <v>104.5</v>
      </c>
      <c r="L308" s="45">
        <v>70.0</v>
      </c>
      <c r="M308" s="22">
        <v>352.0</v>
      </c>
      <c r="N308" s="48">
        <f>+282</f>
        <v>282</v>
      </c>
      <c r="O308" s="39">
        <v>0.0</v>
      </c>
      <c r="P308" s="22">
        <v>3500.0</v>
      </c>
      <c r="Q308" s="22">
        <v>0.0</v>
      </c>
      <c r="R308" s="22"/>
      <c r="S308" s="22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30" t="str">
        <f t="shared" si="1"/>
        <v>Ryan Arcidiacono</v>
      </c>
      <c r="B309" s="23" t="s">
        <v>609</v>
      </c>
      <c r="C309" s="39">
        <v>0.0</v>
      </c>
      <c r="D309" s="24"/>
      <c r="E309" s="23" t="s">
        <v>609</v>
      </c>
      <c r="F309" s="16">
        <v>8.0</v>
      </c>
      <c r="G309" s="33" t="s">
        <v>441</v>
      </c>
      <c r="H309" s="16" t="s">
        <v>442</v>
      </c>
      <c r="I309" s="16" t="s">
        <v>423</v>
      </c>
      <c r="J309" s="16">
        <v>214.5</v>
      </c>
      <c r="K309" s="16">
        <v>112.0</v>
      </c>
      <c r="L309" s="45">
        <v>69.0</v>
      </c>
      <c r="M309" s="22">
        <v>343.0</v>
      </c>
      <c r="N309" s="47">
        <f>+274</f>
        <v>274</v>
      </c>
      <c r="O309" s="39">
        <v>0.0</v>
      </c>
      <c r="P309" s="22">
        <v>3500.0</v>
      </c>
      <c r="Q309" s="22">
        <v>0.0</v>
      </c>
      <c r="R309" s="22"/>
      <c r="S309" s="22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30" t="str">
        <f t="shared" si="1"/>
        <v>Yogi Ferrell</v>
      </c>
      <c r="B310" s="23" t="s">
        <v>610</v>
      </c>
      <c r="C310" s="39">
        <v>0.0</v>
      </c>
      <c r="D310" s="24"/>
      <c r="E310" s="23" t="s">
        <v>610</v>
      </c>
      <c r="F310" s="16">
        <v>92.0</v>
      </c>
      <c r="G310" s="33" t="s">
        <v>482</v>
      </c>
      <c r="H310" s="16" t="s">
        <v>300</v>
      </c>
      <c r="I310" s="16" t="s">
        <v>473</v>
      </c>
      <c r="J310" s="16">
        <v>216.5</v>
      </c>
      <c r="K310" s="16">
        <v>110.0</v>
      </c>
      <c r="L310" s="45">
        <v>68.0</v>
      </c>
      <c r="M310" s="22">
        <v>354.0</v>
      </c>
      <c r="N310" s="47">
        <f>+286</f>
        <v>286</v>
      </c>
      <c r="O310" s="39">
        <v>0.0</v>
      </c>
      <c r="P310" s="22">
        <v>3500.0</v>
      </c>
      <c r="Q310" s="22">
        <v>0.0</v>
      </c>
      <c r="R310" s="22"/>
      <c r="S310" s="22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30" t="str">
        <f t="shared" si="1"/>
        <v>Fred VanVleet</v>
      </c>
      <c r="B311" s="23" t="s">
        <v>611</v>
      </c>
      <c r="C311" s="39">
        <v>0.0</v>
      </c>
      <c r="D311" s="24"/>
      <c r="E311" s="23" t="s">
        <v>611</v>
      </c>
      <c r="F311" s="16">
        <v>12.0</v>
      </c>
      <c r="G311" s="33" t="s">
        <v>435</v>
      </c>
      <c r="H311" s="16" t="s">
        <v>295</v>
      </c>
      <c r="I311" s="16" t="s">
        <v>436</v>
      </c>
      <c r="J311" s="16">
        <v>221.5</v>
      </c>
      <c r="K311" s="39">
        <v>108.0</v>
      </c>
      <c r="L311" s="45">
        <v>72.0</v>
      </c>
      <c r="M311" s="22">
        <v>34.0</v>
      </c>
      <c r="N311" s="41">
        <v>-38.0</v>
      </c>
      <c r="O311" s="39">
        <v>0.0</v>
      </c>
      <c r="P311" s="22">
        <v>7400.0</v>
      </c>
      <c r="Q311" s="22">
        <v>0.0</v>
      </c>
      <c r="R311" s="22"/>
      <c r="S311" s="22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30" t="str">
        <f t="shared" si="1"/>
        <v>Denzel Valentine</v>
      </c>
      <c r="B312" s="23" t="s">
        <v>612</v>
      </c>
      <c r="C312" s="39">
        <v>0.0</v>
      </c>
      <c r="D312" s="24"/>
      <c r="E312" s="23" t="s">
        <v>612</v>
      </c>
      <c r="F312" s="16">
        <v>2.0</v>
      </c>
      <c r="G312" s="33" t="s">
        <v>441</v>
      </c>
      <c r="H312" s="16" t="s">
        <v>442</v>
      </c>
      <c r="I312" s="16" t="s">
        <v>423</v>
      </c>
      <c r="J312" s="16">
        <v>214.5</v>
      </c>
      <c r="K312" s="16">
        <v>112.0</v>
      </c>
      <c r="L312" s="45">
        <v>64.0</v>
      </c>
      <c r="M312" s="22">
        <v>361.0</v>
      </c>
      <c r="N312" s="47">
        <f>+297</f>
        <v>297</v>
      </c>
      <c r="O312" s="39">
        <v>0.0</v>
      </c>
      <c r="P312" s="22">
        <v>3500.0</v>
      </c>
      <c r="Q312" s="22">
        <v>0.0</v>
      </c>
      <c r="R312" s="22"/>
      <c r="S312" s="22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30" t="str">
        <f t="shared" si="1"/>
        <v>Aron Baynes</v>
      </c>
      <c r="B313" s="23" t="s">
        <v>613</v>
      </c>
      <c r="C313" s="39">
        <v>0.0</v>
      </c>
      <c r="D313" s="24"/>
      <c r="E313" s="23" t="s">
        <v>613</v>
      </c>
      <c r="F313" s="16">
        <v>4.0</v>
      </c>
      <c r="G313" s="33" t="s">
        <v>435</v>
      </c>
      <c r="H313" s="16" t="s">
        <v>318</v>
      </c>
      <c r="I313" s="16" t="s">
        <v>436</v>
      </c>
      <c r="J313" s="16">
        <v>221.5</v>
      </c>
      <c r="K313" s="39">
        <v>108.0</v>
      </c>
      <c r="L313" s="45">
        <v>51.0</v>
      </c>
      <c r="M313" s="22">
        <v>362.0</v>
      </c>
      <c r="N313" s="47">
        <f>+311</f>
        <v>311</v>
      </c>
      <c r="O313" s="39">
        <v>0.0</v>
      </c>
      <c r="P313" s="22">
        <v>3500.0</v>
      </c>
      <c r="Q313" s="22">
        <v>0.0</v>
      </c>
      <c r="R313" s="22"/>
      <c r="S313" s="22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30" t="str">
        <f t="shared" si="1"/>
        <v>Sterling Brown</v>
      </c>
      <c r="B314" s="23" t="s">
        <v>614</v>
      </c>
      <c r="C314" s="39">
        <v>0.0</v>
      </c>
      <c r="D314" s="24"/>
      <c r="E314" s="23" t="s">
        <v>614</v>
      </c>
      <c r="F314" s="16">
        <v>4.0</v>
      </c>
      <c r="G314" s="33" t="s">
        <v>425</v>
      </c>
      <c r="H314" s="16" t="s">
        <v>308</v>
      </c>
      <c r="I314" s="16" t="s">
        <v>427</v>
      </c>
      <c r="J314" s="16">
        <v>234.0</v>
      </c>
      <c r="K314" s="34">
        <v>115.0</v>
      </c>
      <c r="L314" s="46">
        <v>74.0</v>
      </c>
      <c r="M314" s="22">
        <v>192.0</v>
      </c>
      <c r="N314" s="47">
        <f>+118</f>
        <v>118</v>
      </c>
      <c r="O314" s="39">
        <v>0.0</v>
      </c>
      <c r="P314" s="22">
        <v>3800.0</v>
      </c>
      <c r="Q314" s="22">
        <v>0.0</v>
      </c>
      <c r="R314" s="22"/>
      <c r="S314" s="22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30" t="str">
        <f t="shared" si="1"/>
        <v>Josh Hart</v>
      </c>
      <c r="B315" s="23" t="s">
        <v>615</v>
      </c>
      <c r="C315" s="39">
        <v>0.0</v>
      </c>
      <c r="D315" s="24"/>
      <c r="E315" s="23" t="s">
        <v>615</v>
      </c>
      <c r="F315" s="16">
        <v>13.0</v>
      </c>
      <c r="G315" s="33" t="s">
        <v>452</v>
      </c>
      <c r="H315" s="16" t="s">
        <v>262</v>
      </c>
      <c r="I315" s="16" t="s">
        <v>439</v>
      </c>
      <c r="J315" s="16">
        <v>219.5</v>
      </c>
      <c r="K315" s="16">
        <v>111.5</v>
      </c>
      <c r="L315" s="46">
        <v>75.0</v>
      </c>
      <c r="M315" s="22">
        <v>142.0</v>
      </c>
      <c r="N315" s="49">
        <f>+67</f>
        <v>67</v>
      </c>
      <c r="O315" s="39">
        <v>0.0</v>
      </c>
      <c r="P315" s="22">
        <v>4400.0</v>
      </c>
      <c r="Q315" s="22">
        <v>0.0</v>
      </c>
      <c r="R315" s="22"/>
      <c r="S315" s="22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30" t="str">
        <f t="shared" si="1"/>
        <v>Sindarius Thornwell</v>
      </c>
      <c r="B316" s="23" t="s">
        <v>616</v>
      </c>
      <c r="C316" s="39">
        <v>0.0</v>
      </c>
      <c r="D316" s="24"/>
      <c r="E316" s="23" t="s">
        <v>616</v>
      </c>
      <c r="F316" s="16">
        <v>31.0</v>
      </c>
      <c r="G316" s="33" t="s">
        <v>452</v>
      </c>
      <c r="H316" s="16" t="s">
        <v>262</v>
      </c>
      <c r="I316" s="16" t="s">
        <v>439</v>
      </c>
      <c r="J316" s="16">
        <v>219.5</v>
      </c>
      <c r="K316" s="16">
        <v>111.5</v>
      </c>
      <c r="L316" s="45">
        <v>69.0</v>
      </c>
      <c r="M316" s="22">
        <v>341.0</v>
      </c>
      <c r="N316" s="47">
        <f>+272</f>
        <v>272</v>
      </c>
      <c r="O316" s="39">
        <v>0.0</v>
      </c>
      <c r="P316" s="22">
        <v>3500.0</v>
      </c>
      <c r="Q316" s="22">
        <v>0.0</v>
      </c>
      <c r="R316" s="22"/>
      <c r="S316" s="22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30" t="str">
        <f t="shared" si="1"/>
        <v>David Nwaba</v>
      </c>
      <c r="B317" s="23" t="s">
        <v>617</v>
      </c>
      <c r="C317" s="39">
        <v>0.0</v>
      </c>
      <c r="D317" s="24"/>
      <c r="E317" s="23" t="s">
        <v>617</v>
      </c>
      <c r="F317" s="16">
        <v>31.0</v>
      </c>
      <c r="G317" s="33" t="s">
        <v>425</v>
      </c>
      <c r="H317" s="16" t="s">
        <v>270</v>
      </c>
      <c r="I317" s="16" t="s">
        <v>427</v>
      </c>
      <c r="J317" s="16">
        <v>234.0</v>
      </c>
      <c r="K317" s="34">
        <v>115.0</v>
      </c>
      <c r="L317" s="45">
        <v>53.0</v>
      </c>
      <c r="M317" s="22">
        <v>321.0</v>
      </c>
      <c r="N317" s="47">
        <f>+268</f>
        <v>268</v>
      </c>
      <c r="O317" s="39">
        <v>0.0</v>
      </c>
      <c r="P317" s="22">
        <v>3500.0</v>
      </c>
      <c r="Q317" s="22">
        <v>0.0</v>
      </c>
      <c r="R317" s="22"/>
      <c r="S317" s="22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30" t="str">
        <f t="shared" si="1"/>
        <v>DeAndre Bembry</v>
      </c>
      <c r="B318" s="23" t="s">
        <v>618</v>
      </c>
      <c r="C318" s="39">
        <v>0.0</v>
      </c>
      <c r="D318" s="24"/>
      <c r="E318" s="23" t="s">
        <v>618</v>
      </c>
      <c r="F318" s="16">
        <v>3.0</v>
      </c>
      <c r="G318" s="33" t="s">
        <v>435</v>
      </c>
      <c r="H318" s="16" t="s">
        <v>295</v>
      </c>
      <c r="I318" s="16" t="s">
        <v>436</v>
      </c>
      <c r="J318" s="16">
        <v>221.5</v>
      </c>
      <c r="K318" s="39">
        <v>108.0</v>
      </c>
      <c r="L318" s="46">
        <v>80.0</v>
      </c>
      <c r="M318" s="22">
        <v>98.0</v>
      </c>
      <c r="N318" s="51">
        <f>+18</f>
        <v>18</v>
      </c>
      <c r="O318" s="39">
        <v>0.0</v>
      </c>
      <c r="P318" s="22">
        <v>5200.0</v>
      </c>
      <c r="Q318" s="22">
        <v>0.0</v>
      </c>
      <c r="R318" s="22"/>
      <c r="S318" s="22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30" t="str">
        <f t="shared" si="1"/>
        <v>Dante Exum</v>
      </c>
      <c r="B319" s="23" t="s">
        <v>619</v>
      </c>
      <c r="C319" s="39">
        <v>0.0</v>
      </c>
      <c r="D319" s="24"/>
      <c r="E319" s="23" t="s">
        <v>619</v>
      </c>
      <c r="F319" s="16">
        <v>100.0</v>
      </c>
      <c r="G319" s="33" t="s">
        <v>425</v>
      </c>
      <c r="H319" s="16" t="s">
        <v>305</v>
      </c>
      <c r="I319" s="16" t="s">
        <v>427</v>
      </c>
      <c r="J319" s="16">
        <v>234.0</v>
      </c>
      <c r="K319" s="34">
        <v>115.0</v>
      </c>
      <c r="L319" s="45">
        <v>65.0</v>
      </c>
      <c r="M319" s="22">
        <v>327.0</v>
      </c>
      <c r="N319" s="48">
        <f>+262</f>
        <v>262</v>
      </c>
      <c r="O319" s="39">
        <v>0.0</v>
      </c>
      <c r="P319" s="22">
        <v>3500.0</v>
      </c>
      <c r="Q319" s="22">
        <v>0.0</v>
      </c>
      <c r="R319" s="22"/>
      <c r="S319" s="22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30" t="str">
        <f t="shared" si="1"/>
        <v>Jahlil Okafor</v>
      </c>
      <c r="B320" s="23" t="s">
        <v>620</v>
      </c>
      <c r="C320" s="39">
        <v>0.0</v>
      </c>
      <c r="D320" s="24"/>
      <c r="E320" s="23" t="s">
        <v>620</v>
      </c>
      <c r="F320" s="16">
        <v>4.0</v>
      </c>
      <c r="G320" s="33" t="s">
        <v>472</v>
      </c>
      <c r="H320" s="16" t="s">
        <v>324</v>
      </c>
      <c r="I320" s="16" t="s">
        <v>473</v>
      </c>
      <c r="J320" s="16">
        <v>216.5</v>
      </c>
      <c r="K320" s="39">
        <v>107.0</v>
      </c>
      <c r="L320" s="22">
        <v>39.0</v>
      </c>
      <c r="M320" s="22">
        <v>191.0</v>
      </c>
      <c r="N320" s="47">
        <f>+152</f>
        <v>152</v>
      </c>
      <c r="O320" s="39">
        <v>0.0</v>
      </c>
      <c r="P320" s="22">
        <v>3800.0</v>
      </c>
      <c r="Q320" s="22">
        <v>0.0</v>
      </c>
      <c r="R320" s="22"/>
      <c r="S320" s="22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30" t="str">
        <f t="shared" si="1"/>
        <v>Justise Winslow</v>
      </c>
      <c r="B321" s="23" t="s">
        <v>621</v>
      </c>
      <c r="C321" s="39">
        <v>0.0</v>
      </c>
      <c r="D321" s="24"/>
      <c r="E321" s="23" t="s">
        <v>621</v>
      </c>
      <c r="F321" s="16">
        <v>18.0</v>
      </c>
      <c r="G321" s="33" t="s">
        <v>488</v>
      </c>
      <c r="H321" s="16" t="s">
        <v>262</v>
      </c>
      <c r="I321" s="16" t="s">
        <v>456</v>
      </c>
      <c r="J321" s="16">
        <v>225.5</v>
      </c>
      <c r="K321" s="16">
        <v>111.5</v>
      </c>
      <c r="L321" s="22">
        <v>46.0</v>
      </c>
      <c r="M321" s="22">
        <v>204.0</v>
      </c>
      <c r="N321" s="47">
        <f>+158</f>
        <v>158</v>
      </c>
      <c r="O321" s="39">
        <v>0.0</v>
      </c>
      <c r="P321" s="22">
        <v>3700.0</v>
      </c>
      <c r="Q321" s="22">
        <v>0.0</v>
      </c>
      <c r="R321" s="22"/>
      <c r="S321" s="22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30" t="str">
        <f t="shared" si="1"/>
        <v>Kelly Oubre</v>
      </c>
      <c r="B322" s="23" t="s">
        <v>622</v>
      </c>
      <c r="C322" s="39">
        <v>0.0</v>
      </c>
      <c r="D322" s="24"/>
      <c r="E322" s="23" t="s">
        <v>622</v>
      </c>
      <c r="F322" s="16">
        <v>5.0</v>
      </c>
      <c r="G322" s="33" t="s">
        <v>463</v>
      </c>
      <c r="H322" s="16" t="s">
        <v>337</v>
      </c>
      <c r="I322" s="16" t="s">
        <v>460</v>
      </c>
      <c r="J322" s="16">
        <v>224.5</v>
      </c>
      <c r="K322" s="34">
        <v>118.0</v>
      </c>
      <c r="L322" s="45">
        <v>51.0</v>
      </c>
      <c r="M322" s="22">
        <v>51.0</v>
      </c>
      <c r="N322" s="39">
        <v>0.0</v>
      </c>
      <c r="O322" s="39">
        <v>0.0</v>
      </c>
      <c r="P322" s="22">
        <v>6700.0</v>
      </c>
      <c r="Q322" s="22">
        <v>0.0</v>
      </c>
      <c r="R322" s="22"/>
      <c r="S322" s="22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30" t="str">
        <f t="shared" si="1"/>
        <v>DJ Wilson</v>
      </c>
      <c r="B323" s="23" t="s">
        <v>623</v>
      </c>
      <c r="C323" s="39">
        <v>0.0</v>
      </c>
      <c r="D323" s="24"/>
      <c r="E323" s="23" t="s">
        <v>623</v>
      </c>
      <c r="F323" s="16">
        <v>2.0</v>
      </c>
      <c r="G323" s="33" t="s">
        <v>425</v>
      </c>
      <c r="H323" s="16" t="s">
        <v>426</v>
      </c>
      <c r="I323" s="16" t="s">
        <v>427</v>
      </c>
      <c r="J323" s="16">
        <v>234.0</v>
      </c>
      <c r="K323" s="34">
        <v>115.0</v>
      </c>
      <c r="L323" s="46">
        <v>74.0</v>
      </c>
      <c r="M323" s="22">
        <v>330.0</v>
      </c>
      <c r="N323" s="47">
        <f>+256</f>
        <v>256</v>
      </c>
      <c r="O323" s="39">
        <v>0.0</v>
      </c>
      <c r="P323" s="22">
        <v>3500.0</v>
      </c>
      <c r="Q323" s="22">
        <v>0.0</v>
      </c>
      <c r="R323" s="22"/>
      <c r="S323" s="22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30" t="str">
        <f t="shared" si="1"/>
        <v>Trey Lyles</v>
      </c>
      <c r="B324" s="23" t="s">
        <v>624</v>
      </c>
      <c r="C324" s="39">
        <v>0.0</v>
      </c>
      <c r="D324" s="24"/>
      <c r="E324" s="23" t="s">
        <v>624</v>
      </c>
      <c r="F324" s="16">
        <v>21.0</v>
      </c>
      <c r="G324" s="33" t="s">
        <v>510</v>
      </c>
      <c r="H324" s="16" t="s">
        <v>275</v>
      </c>
      <c r="I324" s="16" t="s">
        <v>436</v>
      </c>
      <c r="J324" s="16">
        <v>221.5</v>
      </c>
      <c r="K324" s="16">
        <v>113.5</v>
      </c>
      <c r="L324" s="46">
        <v>75.0</v>
      </c>
      <c r="M324" s="22">
        <v>332.0</v>
      </c>
      <c r="N324" s="47">
        <f>+257</f>
        <v>257</v>
      </c>
      <c r="O324" s="39">
        <v>0.0</v>
      </c>
      <c r="P324" s="22">
        <v>3500.0</v>
      </c>
      <c r="Q324" s="22">
        <v>0.0</v>
      </c>
      <c r="R324" s="22"/>
      <c r="S324" s="22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30" t="str">
        <f t="shared" si="1"/>
        <v>Gary Payton</v>
      </c>
      <c r="B325" s="23" t="s">
        <v>408</v>
      </c>
      <c r="C325" s="39">
        <v>0.0</v>
      </c>
      <c r="D325" s="24"/>
      <c r="E325" s="23" t="s">
        <v>408</v>
      </c>
      <c r="F325" s="16">
        <v>2.0</v>
      </c>
      <c r="G325" s="33" t="s">
        <v>463</v>
      </c>
      <c r="H325" s="16" t="s">
        <v>289</v>
      </c>
      <c r="I325" s="16" t="s">
        <v>460</v>
      </c>
      <c r="J325" s="16">
        <v>224.5</v>
      </c>
      <c r="K325" s="34">
        <v>118.0</v>
      </c>
      <c r="L325" s="46">
        <v>81.0</v>
      </c>
      <c r="M325" s="22">
        <v>333.0</v>
      </c>
      <c r="N325" s="47">
        <f>+252</f>
        <v>252</v>
      </c>
      <c r="O325" s="39">
        <v>0.0</v>
      </c>
      <c r="P325" s="22">
        <v>3500.0</v>
      </c>
      <c r="Q325" s="22">
        <v>0.0</v>
      </c>
      <c r="R325" s="22"/>
      <c r="S325" s="22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30" t="str">
        <f t="shared" si="1"/>
        <v>Cedi Osman</v>
      </c>
      <c r="B326" s="23" t="s">
        <v>409</v>
      </c>
      <c r="C326" s="39">
        <v>0.0</v>
      </c>
      <c r="D326" s="24"/>
      <c r="E326" s="23" t="s">
        <v>409</v>
      </c>
      <c r="F326" s="16">
        <v>3.0</v>
      </c>
      <c r="G326" s="33" t="s">
        <v>432</v>
      </c>
      <c r="H326" s="16" t="s">
        <v>275</v>
      </c>
      <c r="I326" s="16" t="s">
        <v>433</v>
      </c>
      <c r="J326" s="16">
        <v>212.5</v>
      </c>
      <c r="K326" s="39">
        <v>104.5</v>
      </c>
      <c r="L326" s="22">
        <v>40.0</v>
      </c>
      <c r="M326" s="22">
        <v>339.0</v>
      </c>
      <c r="N326" s="47">
        <f>+299</f>
        <v>299</v>
      </c>
      <c r="O326" s="39">
        <v>0.0</v>
      </c>
      <c r="P326" s="22">
        <v>3500.0</v>
      </c>
      <c r="Q326" s="22">
        <v>0.0</v>
      </c>
      <c r="R326" s="22"/>
      <c r="S326" s="22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30" t="str">
        <f t="shared" si="1"/>
        <v>Willy Hernangomez</v>
      </c>
      <c r="B327" s="23" t="s">
        <v>625</v>
      </c>
      <c r="C327" s="39">
        <v>0.0</v>
      </c>
      <c r="D327" s="24"/>
      <c r="E327" s="23" t="s">
        <v>625</v>
      </c>
      <c r="F327" s="16">
        <v>2.0</v>
      </c>
      <c r="G327" s="33" t="s">
        <v>452</v>
      </c>
      <c r="H327" s="16" t="s">
        <v>270</v>
      </c>
      <c r="I327" s="16" t="s">
        <v>439</v>
      </c>
      <c r="J327" s="16">
        <v>219.5</v>
      </c>
      <c r="K327" s="16">
        <v>111.5</v>
      </c>
      <c r="L327" s="22">
        <v>38.0</v>
      </c>
      <c r="M327" s="22">
        <v>157.0</v>
      </c>
      <c r="N327" s="47">
        <f>+119</f>
        <v>119</v>
      </c>
      <c r="O327" s="39">
        <v>0.0</v>
      </c>
      <c r="P327" s="22">
        <v>4100.0</v>
      </c>
      <c r="Q327" s="22">
        <v>0.0</v>
      </c>
      <c r="R327" s="22"/>
      <c r="S327" s="22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30" t="str">
        <f t="shared" si="1"/>
        <v>Cristiano Felicio</v>
      </c>
      <c r="B328" s="23" t="s">
        <v>626</v>
      </c>
      <c r="C328" s="39">
        <v>0.0</v>
      </c>
      <c r="D328" s="24"/>
      <c r="E328" s="23" t="s">
        <v>626</v>
      </c>
      <c r="F328" s="16">
        <v>8.0</v>
      </c>
      <c r="G328" s="33" t="s">
        <v>441</v>
      </c>
      <c r="H328" s="16" t="s">
        <v>262</v>
      </c>
      <c r="I328" s="16" t="s">
        <v>423</v>
      </c>
      <c r="J328" s="16">
        <v>214.5</v>
      </c>
      <c r="K328" s="16">
        <v>112.0</v>
      </c>
      <c r="L328" s="22">
        <v>37.0</v>
      </c>
      <c r="M328" s="22">
        <v>292.0</v>
      </c>
      <c r="N328" s="47">
        <f>+255</f>
        <v>255</v>
      </c>
      <c r="O328" s="39">
        <v>0.0</v>
      </c>
      <c r="P328" s="22">
        <v>3500.0</v>
      </c>
      <c r="Q328" s="22">
        <v>0.0</v>
      </c>
      <c r="R328" s="22"/>
      <c r="S328" s="22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30" t="str">
        <f t="shared" si="1"/>
        <v>Boban Marjanovic</v>
      </c>
      <c r="B329" s="23" t="s">
        <v>627</v>
      </c>
      <c r="C329" s="39">
        <v>0.0</v>
      </c>
      <c r="D329" s="24"/>
      <c r="E329" s="23" t="s">
        <v>627</v>
      </c>
      <c r="F329" s="16">
        <v>2.0</v>
      </c>
      <c r="G329" s="33" t="s">
        <v>455</v>
      </c>
      <c r="H329" s="16" t="s">
        <v>289</v>
      </c>
      <c r="I329" s="16" t="s">
        <v>456</v>
      </c>
      <c r="J329" s="16">
        <v>225.5</v>
      </c>
      <c r="K329" s="34">
        <v>114.5</v>
      </c>
      <c r="L329" s="22">
        <v>36.0</v>
      </c>
      <c r="M329" s="22">
        <v>169.0</v>
      </c>
      <c r="N329" s="47">
        <f>+133</f>
        <v>133</v>
      </c>
      <c r="O329" s="39">
        <v>0.0</v>
      </c>
      <c r="P329" s="22">
        <v>4000.0</v>
      </c>
      <c r="Q329" s="22">
        <v>0.0</v>
      </c>
      <c r="R329" s="22"/>
      <c r="S329" s="22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30" t="str">
        <f t="shared" si="1"/>
        <v>Jamal Murray</v>
      </c>
      <c r="B330" s="23" t="s">
        <v>628</v>
      </c>
      <c r="C330" s="39">
        <v>0.0</v>
      </c>
      <c r="D330" s="24"/>
      <c r="E330" s="23" t="s">
        <v>628</v>
      </c>
      <c r="F330" s="16">
        <v>2.0</v>
      </c>
      <c r="G330" s="33" t="s">
        <v>478</v>
      </c>
      <c r="H330" s="16" t="s">
        <v>262</v>
      </c>
      <c r="I330" s="16" t="s">
        <v>450</v>
      </c>
      <c r="J330" s="16">
        <v>209.0</v>
      </c>
      <c r="K330" s="39">
        <v>107.5</v>
      </c>
      <c r="L330" s="45">
        <v>64.0</v>
      </c>
      <c r="M330" s="22">
        <v>27.0</v>
      </c>
      <c r="N330" s="41">
        <v>-37.0</v>
      </c>
      <c r="O330" s="39">
        <v>0.0</v>
      </c>
      <c r="P330" s="22">
        <v>7700.0</v>
      </c>
      <c r="Q330" s="22">
        <v>0.0</v>
      </c>
      <c r="R330" s="22"/>
      <c r="S330" s="22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30" t="str">
        <f t="shared" si="1"/>
        <v>Thomas Bryant</v>
      </c>
      <c r="B331" s="23" t="s">
        <v>629</v>
      </c>
      <c r="C331" s="39">
        <v>0.0</v>
      </c>
      <c r="D331" s="24"/>
      <c r="E331" s="23" t="s">
        <v>629</v>
      </c>
      <c r="F331" s="16">
        <v>95.0</v>
      </c>
      <c r="G331" s="33" t="s">
        <v>462</v>
      </c>
      <c r="H331" s="16" t="s">
        <v>430</v>
      </c>
      <c r="I331" s="16" t="s">
        <v>431</v>
      </c>
      <c r="J331" s="16">
        <v>242.0</v>
      </c>
      <c r="K331" s="31">
        <v>122.5</v>
      </c>
      <c r="L331" s="22">
        <v>32.0</v>
      </c>
      <c r="M331" s="22">
        <v>200.0</v>
      </c>
      <c r="N331" s="47">
        <f>+168</f>
        <v>168</v>
      </c>
      <c r="O331" s="39">
        <v>0.0</v>
      </c>
      <c r="P331" s="22">
        <v>3700.0</v>
      </c>
      <c r="Q331" s="22">
        <v>0.0</v>
      </c>
      <c r="R331" s="22"/>
      <c r="S331" s="22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30" t="str">
        <f t="shared" si="1"/>
        <v>Markelle Fultz</v>
      </c>
      <c r="B332" s="23" t="s">
        <v>630</v>
      </c>
      <c r="C332" s="39">
        <v>0.0</v>
      </c>
      <c r="D332" s="24"/>
      <c r="E332" s="23" t="s">
        <v>630</v>
      </c>
      <c r="F332" s="16">
        <v>98.0</v>
      </c>
      <c r="G332" s="33" t="s">
        <v>422</v>
      </c>
      <c r="H332" s="16" t="s">
        <v>337</v>
      </c>
      <c r="I332" s="16" t="s">
        <v>423</v>
      </c>
      <c r="J332" s="16">
        <v>214.5</v>
      </c>
      <c r="K332" s="41">
        <v>102.5</v>
      </c>
      <c r="L332" s="45">
        <v>62.0</v>
      </c>
      <c r="M332" s="22">
        <v>209.0</v>
      </c>
      <c r="N332" s="47">
        <f>+147</f>
        <v>147</v>
      </c>
      <c r="O332" s="39">
        <v>0.0</v>
      </c>
      <c r="P332" s="22">
        <v>3600.0</v>
      </c>
      <c r="Q332" s="22">
        <v>0.0</v>
      </c>
      <c r="R332" s="22"/>
      <c r="S332" s="22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30" t="str">
        <f t="shared" si="1"/>
        <v>Lonzo Ball</v>
      </c>
      <c r="B333" s="23" t="s">
        <v>631</v>
      </c>
      <c r="C333" s="39">
        <v>0.0</v>
      </c>
      <c r="D333" s="24"/>
      <c r="E333" s="23" t="s">
        <v>631</v>
      </c>
      <c r="F333" s="16">
        <v>7.0</v>
      </c>
      <c r="G333" s="33" t="s">
        <v>452</v>
      </c>
      <c r="H333" s="16" t="s">
        <v>324</v>
      </c>
      <c r="I333" s="16" t="s">
        <v>439</v>
      </c>
      <c r="J333" s="16">
        <v>219.5</v>
      </c>
      <c r="K333" s="16">
        <v>111.5</v>
      </c>
      <c r="L333" s="39">
        <v>61.0</v>
      </c>
      <c r="M333" s="16">
        <v>28.0</v>
      </c>
      <c r="N333" s="41">
        <v>-33.0</v>
      </c>
      <c r="O333" s="39">
        <v>0.0</v>
      </c>
      <c r="P333" s="22">
        <v>7600.0</v>
      </c>
      <c r="Q333" s="22">
        <v>0.0</v>
      </c>
      <c r="R333" s="22"/>
      <c r="S333" s="22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30" t="str">
        <f t="shared" si="1"/>
        <v>Jonathan Isaac</v>
      </c>
      <c r="B334" s="23" t="s">
        <v>632</v>
      </c>
      <c r="C334" s="39">
        <v>0.0</v>
      </c>
      <c r="D334" s="24"/>
      <c r="E334" s="23" t="s">
        <v>632</v>
      </c>
      <c r="F334" s="16" t="s">
        <v>382</v>
      </c>
      <c r="G334" s="33" t="s">
        <v>422</v>
      </c>
      <c r="H334" s="16" t="s">
        <v>313</v>
      </c>
      <c r="I334" s="16" t="s">
        <v>423</v>
      </c>
      <c r="J334" s="16">
        <v>214.5</v>
      </c>
      <c r="K334" s="41">
        <v>102.5</v>
      </c>
      <c r="L334" s="16">
        <v>39.0</v>
      </c>
      <c r="M334" s="16">
        <v>120.0</v>
      </c>
      <c r="N334" s="49">
        <f>+81</f>
        <v>81</v>
      </c>
      <c r="O334" s="39">
        <v>0.0</v>
      </c>
      <c r="P334" s="22">
        <v>4900.0</v>
      </c>
      <c r="Q334" s="22">
        <v>0.0</v>
      </c>
      <c r="R334" s="22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30" t="str">
        <f t="shared" si="1"/>
        <v>Frank Ntilikina</v>
      </c>
      <c r="B335" s="23" t="s">
        <v>633</v>
      </c>
      <c r="C335" s="39">
        <v>0.0</v>
      </c>
      <c r="D335" s="24"/>
      <c r="E335" s="23" t="s">
        <v>633</v>
      </c>
      <c r="F335" s="16">
        <v>2.0</v>
      </c>
      <c r="G335" s="33" t="s">
        <v>438</v>
      </c>
      <c r="H335" s="16" t="s">
        <v>453</v>
      </c>
      <c r="I335" s="16" t="s">
        <v>439</v>
      </c>
      <c r="J335" s="16">
        <v>219.5</v>
      </c>
      <c r="K335" s="16">
        <v>108.5</v>
      </c>
      <c r="L335" s="39">
        <v>50.0</v>
      </c>
      <c r="M335" s="16">
        <v>237.0</v>
      </c>
      <c r="N335" s="48">
        <f>+187</f>
        <v>187</v>
      </c>
      <c r="O335" s="39">
        <v>0.0</v>
      </c>
      <c r="P335" s="22">
        <v>3500.0</v>
      </c>
      <c r="Q335" s="22">
        <v>0.0</v>
      </c>
      <c r="R335" s="22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30" t="str">
        <f t="shared" si="1"/>
        <v>Dennis Smith</v>
      </c>
      <c r="B336" s="23" t="s">
        <v>634</v>
      </c>
      <c r="C336" s="39">
        <v>0.0</v>
      </c>
      <c r="D336" s="24"/>
      <c r="E336" s="23" t="s">
        <v>634</v>
      </c>
      <c r="F336" s="16">
        <v>4.0</v>
      </c>
      <c r="G336" s="33" t="s">
        <v>472</v>
      </c>
      <c r="H336" s="16" t="s">
        <v>254</v>
      </c>
      <c r="I336" s="16" t="s">
        <v>473</v>
      </c>
      <c r="J336" s="16">
        <v>216.5</v>
      </c>
      <c r="K336" s="39">
        <v>107.0</v>
      </c>
      <c r="L336" s="39">
        <v>58.0</v>
      </c>
      <c r="M336" s="16">
        <v>212.0</v>
      </c>
      <c r="N336" s="48">
        <f>+154</f>
        <v>154</v>
      </c>
      <c r="O336" s="39">
        <v>0.0</v>
      </c>
      <c r="P336" s="22">
        <v>3600.0</v>
      </c>
      <c r="Q336" s="22">
        <v>0.0</v>
      </c>
      <c r="R336" s="22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30" t="str">
        <f t="shared" si="1"/>
        <v>Malik Monk</v>
      </c>
      <c r="B337" s="23" t="s">
        <v>635</v>
      </c>
      <c r="C337" s="39">
        <v>0.0</v>
      </c>
      <c r="D337" s="24"/>
      <c r="E337" s="23" t="s">
        <v>635</v>
      </c>
      <c r="F337" s="16">
        <v>13.0</v>
      </c>
      <c r="G337" s="33" t="s">
        <v>484</v>
      </c>
      <c r="H337" s="16" t="s">
        <v>430</v>
      </c>
      <c r="I337" s="16" t="s">
        <v>433</v>
      </c>
      <c r="J337" s="16">
        <v>212.5</v>
      </c>
      <c r="K337" s="39">
        <v>108.0</v>
      </c>
      <c r="L337" s="52">
        <v>87.0</v>
      </c>
      <c r="M337" s="16">
        <v>113.0</v>
      </c>
      <c r="N337" s="30">
        <f>+26</f>
        <v>26</v>
      </c>
      <c r="O337" s="39">
        <v>0.0</v>
      </c>
      <c r="P337" s="22">
        <v>5100.0</v>
      </c>
      <c r="Q337" s="22">
        <v>0.0</v>
      </c>
      <c r="R337" s="22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30" t="str">
        <f t="shared" si="1"/>
        <v>Isaiah Hartenstein</v>
      </c>
      <c r="B338" s="23" t="s">
        <v>411</v>
      </c>
      <c r="C338" s="39">
        <v>0.0</v>
      </c>
      <c r="D338" s="24"/>
      <c r="E338" s="23" t="s">
        <v>411</v>
      </c>
      <c r="F338" s="16">
        <v>3.0</v>
      </c>
      <c r="G338" s="33" t="s">
        <v>432</v>
      </c>
      <c r="H338" s="16" t="s">
        <v>442</v>
      </c>
      <c r="I338" s="16" t="s">
        <v>433</v>
      </c>
      <c r="J338" s="16">
        <v>212.5</v>
      </c>
      <c r="K338" s="39">
        <v>104.5</v>
      </c>
      <c r="L338" s="52">
        <v>80.0</v>
      </c>
      <c r="M338" s="16">
        <v>70.0</v>
      </c>
      <c r="N338" s="39">
        <v>-10.0</v>
      </c>
      <c r="O338" s="39">
        <v>0.0</v>
      </c>
      <c r="P338" s="22">
        <v>5900.0</v>
      </c>
      <c r="Q338" s="22">
        <v>0.0</v>
      </c>
      <c r="R338" s="22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30" t="str">
        <f t="shared" si="1"/>
        <v>Shaquille Harrison</v>
      </c>
      <c r="B339" s="23" t="s">
        <v>636</v>
      </c>
      <c r="C339" s="39">
        <v>0.0</v>
      </c>
      <c r="D339" s="24"/>
      <c r="E339" s="23" t="s">
        <v>636</v>
      </c>
      <c r="F339" s="16">
        <v>51.0</v>
      </c>
      <c r="G339" s="33" t="s">
        <v>478</v>
      </c>
      <c r="H339" s="16" t="s">
        <v>262</v>
      </c>
      <c r="I339" s="16" t="s">
        <v>450</v>
      </c>
      <c r="J339" s="16">
        <v>209.0</v>
      </c>
      <c r="K339" s="39">
        <v>107.5</v>
      </c>
      <c r="L339" s="16">
        <v>46.0</v>
      </c>
      <c r="M339" s="16">
        <v>257.0</v>
      </c>
      <c r="N339" s="48">
        <f t="shared" ref="N339:N340" si="4">+211</f>
        <v>211</v>
      </c>
      <c r="O339" s="39">
        <v>0.0</v>
      </c>
      <c r="P339" s="22">
        <v>3500.0</v>
      </c>
      <c r="Q339" s="22">
        <v>0.0</v>
      </c>
      <c r="R339" s="22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30" t="str">
        <f t="shared" si="1"/>
        <v>Troy Brown</v>
      </c>
      <c r="B340" s="23" t="s">
        <v>637</v>
      </c>
      <c r="C340" s="39">
        <v>0.0</v>
      </c>
      <c r="D340" s="24"/>
      <c r="E340" s="23" t="s">
        <v>637</v>
      </c>
      <c r="F340" s="16">
        <v>2.0</v>
      </c>
      <c r="G340" s="33" t="s">
        <v>441</v>
      </c>
      <c r="H340" s="16" t="s">
        <v>442</v>
      </c>
      <c r="I340" s="16" t="s">
        <v>423</v>
      </c>
      <c r="J340" s="16">
        <v>214.5</v>
      </c>
      <c r="K340" s="16">
        <v>112.0</v>
      </c>
      <c r="L340" s="16">
        <v>44.0</v>
      </c>
      <c r="M340" s="16">
        <v>255.0</v>
      </c>
      <c r="N340" s="48">
        <f t="shared" si="4"/>
        <v>211</v>
      </c>
      <c r="O340" s="39">
        <v>0.0</v>
      </c>
      <c r="P340" s="22">
        <v>3500.0</v>
      </c>
      <c r="Q340" s="22">
        <v>0.0</v>
      </c>
      <c r="R340" s="22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30" t="str">
        <f t="shared" si="1"/>
        <v>Kevin Knox</v>
      </c>
      <c r="B341" s="23" t="s">
        <v>638</v>
      </c>
      <c r="C341" s="39">
        <v>0.0</v>
      </c>
      <c r="D341" s="24"/>
      <c r="E341" s="23" t="s">
        <v>638</v>
      </c>
      <c r="F341" s="16">
        <v>2.0</v>
      </c>
      <c r="G341" s="33" t="s">
        <v>438</v>
      </c>
      <c r="H341" s="16" t="s">
        <v>426</v>
      </c>
      <c r="I341" s="16" t="s">
        <v>439</v>
      </c>
      <c r="J341" s="16">
        <v>219.5</v>
      </c>
      <c r="K341" s="16">
        <v>108.5</v>
      </c>
      <c r="L341" s="16">
        <v>45.0</v>
      </c>
      <c r="M341" s="16">
        <v>254.0</v>
      </c>
      <c r="N341" s="48">
        <f>+209</f>
        <v>209</v>
      </c>
      <c r="O341" s="39">
        <v>0.0</v>
      </c>
      <c r="P341" s="22">
        <v>3500.0</v>
      </c>
      <c r="Q341" s="22">
        <v>0.0</v>
      </c>
      <c r="R341" s="22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30" t="str">
        <f t="shared" si="1"/>
        <v>Marvin Bagley</v>
      </c>
      <c r="B342" s="23" t="s">
        <v>412</v>
      </c>
      <c r="C342" s="39">
        <v>0.0</v>
      </c>
      <c r="D342" s="24"/>
      <c r="E342" s="23" t="s">
        <v>412</v>
      </c>
      <c r="F342" s="16">
        <v>30.0</v>
      </c>
      <c r="G342" s="33" t="s">
        <v>429</v>
      </c>
      <c r="H342" s="16" t="s">
        <v>313</v>
      </c>
      <c r="I342" s="16" t="s">
        <v>431</v>
      </c>
      <c r="J342" s="16">
        <v>242.0</v>
      </c>
      <c r="K342" s="31">
        <v>120.0</v>
      </c>
      <c r="L342" s="52">
        <v>73.0</v>
      </c>
      <c r="M342" s="16">
        <v>123.0</v>
      </c>
      <c r="N342" s="30">
        <f>+50</f>
        <v>50</v>
      </c>
      <c r="O342" s="39">
        <v>0.0</v>
      </c>
      <c r="P342" s="22">
        <v>4800.0</v>
      </c>
      <c r="Q342" s="22">
        <v>0.0</v>
      </c>
      <c r="R342" s="22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30" t="str">
        <f t="shared" si="1"/>
        <v>Jaren Jackson</v>
      </c>
      <c r="B343" s="23" t="s">
        <v>639</v>
      </c>
      <c r="C343" s="39">
        <v>0.0</v>
      </c>
      <c r="D343" s="24"/>
      <c r="E343" s="23" t="s">
        <v>639</v>
      </c>
      <c r="F343" s="16" t="s">
        <v>382</v>
      </c>
      <c r="G343" s="33" t="s">
        <v>488</v>
      </c>
      <c r="H343" s="16" t="s">
        <v>258</v>
      </c>
      <c r="I343" s="16" t="s">
        <v>456</v>
      </c>
      <c r="J343" s="16">
        <v>225.5</v>
      </c>
      <c r="K343" s="16">
        <v>111.5</v>
      </c>
      <c r="L343" s="39">
        <v>64.0</v>
      </c>
      <c r="M343" s="16">
        <v>185.0</v>
      </c>
      <c r="N343" s="48">
        <f>+121</f>
        <v>121</v>
      </c>
      <c r="O343" s="39">
        <v>0.0</v>
      </c>
      <c r="P343" s="22">
        <v>3900.0</v>
      </c>
      <c r="Q343" s="22">
        <v>0.0</v>
      </c>
      <c r="R343" s="22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30" t="str">
        <f t="shared" si="1"/>
        <v>Keita Bates-Diop</v>
      </c>
      <c r="B344" s="23" t="s">
        <v>640</v>
      </c>
      <c r="C344" s="39">
        <v>0.0</v>
      </c>
      <c r="D344" s="24"/>
      <c r="E344" s="23" t="s">
        <v>640</v>
      </c>
      <c r="F344" s="16">
        <v>2.0</v>
      </c>
      <c r="G344" s="33" t="s">
        <v>510</v>
      </c>
      <c r="H344" s="16" t="s">
        <v>300</v>
      </c>
      <c r="I344" s="16" t="s">
        <v>436</v>
      </c>
      <c r="J344" s="16">
        <v>221.5</v>
      </c>
      <c r="K344" s="16">
        <v>113.5</v>
      </c>
      <c r="L344" s="16">
        <v>43.0</v>
      </c>
      <c r="M344" s="16">
        <v>248.0</v>
      </c>
      <c r="N344" s="48">
        <f>+205</f>
        <v>205</v>
      </c>
      <c r="O344" s="39">
        <v>0.0</v>
      </c>
      <c r="P344" s="22">
        <v>3500.0</v>
      </c>
      <c r="Q344" s="22">
        <v>0.0</v>
      </c>
      <c r="R344" s="22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30" t="str">
        <f t="shared" si="1"/>
        <v>Bruce Brown</v>
      </c>
      <c r="B345" s="23" t="s">
        <v>641</v>
      </c>
      <c r="C345" s="39">
        <v>0.0</v>
      </c>
      <c r="D345" s="24"/>
      <c r="E345" s="23" t="s">
        <v>641</v>
      </c>
      <c r="F345" s="16" t="s">
        <v>382</v>
      </c>
      <c r="G345" s="33" t="s">
        <v>444</v>
      </c>
      <c r="H345" s="16" t="s">
        <v>277</v>
      </c>
      <c r="I345" s="16" t="s">
        <v>445</v>
      </c>
      <c r="J345" s="16">
        <v>225.5</v>
      </c>
      <c r="K345" s="16">
        <v>108.5</v>
      </c>
      <c r="L345" s="39">
        <v>51.0</v>
      </c>
      <c r="M345" s="16">
        <v>101.0</v>
      </c>
      <c r="N345" s="30">
        <f>+50</f>
        <v>50</v>
      </c>
      <c r="O345" s="39">
        <v>0.0</v>
      </c>
      <c r="P345" s="22">
        <v>5200.0</v>
      </c>
      <c r="Q345" s="22">
        <v>0.0</v>
      </c>
      <c r="R345" s="22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30" t="str">
        <f t="shared" si="1"/>
        <v>Gary Trent</v>
      </c>
      <c r="B346" s="23" t="s">
        <v>642</v>
      </c>
      <c r="C346" s="39">
        <v>0.0</v>
      </c>
      <c r="D346" s="24"/>
      <c r="E346" s="23" t="s">
        <v>642</v>
      </c>
      <c r="F346" s="16">
        <v>1.0</v>
      </c>
      <c r="G346" s="33" t="s">
        <v>435</v>
      </c>
      <c r="H346" s="16" t="s">
        <v>295</v>
      </c>
      <c r="I346" s="16" t="s">
        <v>436</v>
      </c>
      <c r="J346" s="16">
        <v>221.5</v>
      </c>
      <c r="K346" s="39">
        <v>108.0</v>
      </c>
      <c r="L346" s="39">
        <v>52.0</v>
      </c>
      <c r="M346" s="16">
        <v>60.0</v>
      </c>
      <c r="N346" s="50">
        <f>+8</f>
        <v>8</v>
      </c>
      <c r="O346" s="39">
        <v>0.0</v>
      </c>
      <c r="P346" s="22">
        <v>6200.0</v>
      </c>
      <c r="Q346" s="22">
        <v>0.0</v>
      </c>
      <c r="R346" s="22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30" t="str">
        <f t="shared" si="1"/>
        <v>DeAnthony Melton</v>
      </c>
      <c r="B347" s="23" t="s">
        <v>643</v>
      </c>
      <c r="C347" s="39">
        <v>0.0</v>
      </c>
      <c r="D347" s="24"/>
      <c r="E347" s="23" t="s">
        <v>643</v>
      </c>
      <c r="F347" s="16">
        <v>10.0</v>
      </c>
      <c r="G347" s="33" t="s">
        <v>488</v>
      </c>
      <c r="H347" s="16" t="s">
        <v>281</v>
      </c>
      <c r="I347" s="16" t="s">
        <v>456</v>
      </c>
      <c r="J347" s="16">
        <v>225.5</v>
      </c>
      <c r="K347" s="16">
        <v>111.5</v>
      </c>
      <c r="L347" s="39">
        <v>54.0</v>
      </c>
      <c r="M347" s="16">
        <v>139.0</v>
      </c>
      <c r="N347" s="53">
        <f>+85</f>
        <v>85</v>
      </c>
      <c r="O347" s="39">
        <v>0.0</v>
      </c>
      <c r="P347" s="22">
        <v>4500.0</v>
      </c>
      <c r="Q347" s="22">
        <v>0.0</v>
      </c>
      <c r="R347" s="22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30" t="str">
        <f t="shared" si="1"/>
        <v>Mitchell Robinson</v>
      </c>
      <c r="B348" s="23" t="s">
        <v>644</v>
      </c>
      <c r="C348" s="39">
        <v>0.0</v>
      </c>
      <c r="D348" s="24"/>
      <c r="E348" s="23" t="s">
        <v>644</v>
      </c>
      <c r="F348" s="16">
        <v>18.0</v>
      </c>
      <c r="G348" s="33" t="s">
        <v>438</v>
      </c>
      <c r="H348" s="16" t="s">
        <v>295</v>
      </c>
      <c r="I348" s="16" t="s">
        <v>439</v>
      </c>
      <c r="J348" s="16">
        <v>219.5</v>
      </c>
      <c r="K348" s="16">
        <v>108.5</v>
      </c>
      <c r="L348" s="16">
        <v>33.0</v>
      </c>
      <c r="M348" s="16">
        <v>221.0</v>
      </c>
      <c r="N348" s="48">
        <f>+188</f>
        <v>188</v>
      </c>
      <c r="O348" s="39">
        <v>0.0</v>
      </c>
      <c r="P348" s="22">
        <v>3600.0</v>
      </c>
      <c r="Q348" s="22">
        <v>0.0</v>
      </c>
      <c r="R348" s="22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30" t="str">
        <f t="shared" si="1"/>
        <v>Aaron Holiday</v>
      </c>
      <c r="B349" s="23" t="s">
        <v>645</v>
      </c>
      <c r="C349" s="39">
        <v>0.0</v>
      </c>
      <c r="D349" s="24"/>
      <c r="E349" s="23" t="s">
        <v>645</v>
      </c>
      <c r="F349" s="16">
        <v>1.0</v>
      </c>
      <c r="G349" s="33" t="s">
        <v>447</v>
      </c>
      <c r="H349" s="16" t="s">
        <v>453</v>
      </c>
      <c r="I349" s="16" t="s">
        <v>427</v>
      </c>
      <c r="J349" s="16">
        <v>234.0</v>
      </c>
      <c r="K349" s="34">
        <v>119.5</v>
      </c>
      <c r="L349" s="39">
        <v>58.0</v>
      </c>
      <c r="M349" s="16">
        <v>154.0</v>
      </c>
      <c r="N349" s="53">
        <f>+96</f>
        <v>96</v>
      </c>
      <c r="O349" s="39">
        <v>0.0</v>
      </c>
      <c r="P349" s="22">
        <v>4200.0</v>
      </c>
      <c r="Q349" s="22">
        <v>0.0</v>
      </c>
      <c r="R349" s="22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30" t="str">
        <f t="shared" si="1"/>
        <v>Isaac Bonga</v>
      </c>
      <c r="B350" s="23" t="s">
        <v>646</v>
      </c>
      <c r="C350" s="39">
        <v>0.0</v>
      </c>
      <c r="D350" s="24"/>
      <c r="E350" s="23" t="s">
        <v>646</v>
      </c>
      <c r="F350" s="16">
        <v>2.0</v>
      </c>
      <c r="G350" s="33" t="s">
        <v>462</v>
      </c>
      <c r="H350" s="16" t="s">
        <v>300</v>
      </c>
      <c r="I350" s="16" t="s">
        <v>431</v>
      </c>
      <c r="J350" s="16">
        <v>242.0</v>
      </c>
      <c r="K350" s="31">
        <v>122.5</v>
      </c>
      <c r="L350" s="39">
        <v>62.0</v>
      </c>
      <c r="M350" s="16">
        <v>243.0</v>
      </c>
      <c r="N350" s="47">
        <f>+181</f>
        <v>181</v>
      </c>
      <c r="O350" s="39">
        <v>0.0</v>
      </c>
      <c r="P350" s="22">
        <v>3500.0</v>
      </c>
      <c r="Q350" s="22">
        <v>0.0</v>
      </c>
      <c r="R350" s="22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30" t="str">
        <f t="shared" si="1"/>
        <v>Yuta Watanabe</v>
      </c>
      <c r="B351" s="23" t="s">
        <v>647</v>
      </c>
      <c r="C351" s="39">
        <v>0.0</v>
      </c>
      <c r="D351" s="24"/>
      <c r="E351" s="23" t="s">
        <v>647</v>
      </c>
      <c r="F351" s="16">
        <v>1.0</v>
      </c>
      <c r="G351" s="33" t="s">
        <v>435</v>
      </c>
      <c r="H351" s="16" t="s">
        <v>295</v>
      </c>
      <c r="I351" s="16" t="s">
        <v>436</v>
      </c>
      <c r="J351" s="16">
        <v>221.5</v>
      </c>
      <c r="K351" s="39">
        <v>108.0</v>
      </c>
      <c r="L351" s="39">
        <v>61.0</v>
      </c>
      <c r="M351" s="16">
        <v>198.0</v>
      </c>
      <c r="N351" s="48">
        <f>+137</f>
        <v>137</v>
      </c>
      <c r="O351" s="39">
        <v>0.0</v>
      </c>
      <c r="P351" s="22">
        <v>3700.0</v>
      </c>
      <c r="Q351" s="22">
        <v>0.0</v>
      </c>
      <c r="R351" s="22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30" t="str">
        <f t="shared" si="1"/>
        <v>Wenyen Gabriel</v>
      </c>
      <c r="B352" s="23" t="s">
        <v>648</v>
      </c>
      <c r="C352" s="39">
        <v>0.0</v>
      </c>
      <c r="D352" s="24"/>
      <c r="E352" s="23" t="s">
        <v>648</v>
      </c>
      <c r="F352" s="16">
        <v>7.0</v>
      </c>
      <c r="G352" s="33" t="s">
        <v>452</v>
      </c>
      <c r="H352" s="16" t="s">
        <v>324</v>
      </c>
      <c r="I352" s="16" t="s">
        <v>439</v>
      </c>
      <c r="J352" s="16">
        <v>219.5</v>
      </c>
      <c r="K352" s="16">
        <v>111.5</v>
      </c>
      <c r="L352" s="39">
        <v>51.0</v>
      </c>
      <c r="M352" s="16">
        <v>245.0</v>
      </c>
      <c r="N352" s="48">
        <f>+194</f>
        <v>194</v>
      </c>
      <c r="O352" s="39">
        <v>0.0</v>
      </c>
      <c r="P352" s="22">
        <v>3500.0</v>
      </c>
      <c r="Q352" s="22">
        <v>0.0</v>
      </c>
      <c r="R352" s="22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30" t="str">
        <f t="shared" si="1"/>
        <v>Theo Pinson</v>
      </c>
      <c r="B353" s="23" t="s">
        <v>649</v>
      </c>
      <c r="C353" s="39">
        <v>0.0</v>
      </c>
      <c r="D353" s="24"/>
      <c r="E353" s="23" t="s">
        <v>649</v>
      </c>
      <c r="F353" s="16">
        <v>11.0</v>
      </c>
      <c r="G353" s="33" t="s">
        <v>438</v>
      </c>
      <c r="H353" s="16" t="s">
        <v>337</v>
      </c>
      <c r="I353" s="16" t="s">
        <v>439</v>
      </c>
      <c r="J353" s="16">
        <v>219.5</v>
      </c>
      <c r="K353" s="16">
        <v>108.5</v>
      </c>
      <c r="L353" s="39">
        <v>62.0</v>
      </c>
      <c r="M353" s="16">
        <v>246.0</v>
      </c>
      <c r="N353" s="47">
        <f>+184</f>
        <v>184</v>
      </c>
      <c r="O353" s="39">
        <v>0.0</v>
      </c>
      <c r="P353" s="22">
        <v>3500.0</v>
      </c>
      <c r="Q353" s="22">
        <v>0.0</v>
      </c>
      <c r="R353" s="22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30" t="str">
        <f t="shared" si="1"/>
        <v>Al Horford</v>
      </c>
      <c r="B354" s="23" t="s">
        <v>650</v>
      </c>
      <c r="C354" s="39">
        <v>0.0</v>
      </c>
      <c r="D354" s="24"/>
      <c r="E354" s="23" t="s">
        <v>650</v>
      </c>
      <c r="F354" s="16">
        <v>21.0</v>
      </c>
      <c r="G354" s="33" t="s">
        <v>459</v>
      </c>
      <c r="H354" s="16" t="s">
        <v>277</v>
      </c>
      <c r="I354" s="16" t="s">
        <v>460</v>
      </c>
      <c r="J354" s="16">
        <v>224.5</v>
      </c>
      <c r="K354" s="39">
        <v>106.5</v>
      </c>
      <c r="L354" s="39">
        <v>52.0</v>
      </c>
      <c r="M354" s="16">
        <v>216.0</v>
      </c>
      <c r="N354" s="47">
        <f>+164</f>
        <v>164</v>
      </c>
      <c r="O354" s="39">
        <v>0.0</v>
      </c>
      <c r="P354" s="22">
        <v>3600.0</v>
      </c>
      <c r="Q354" s="22">
        <v>0.0</v>
      </c>
      <c r="R354" s="22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30" t="str">
        <f t="shared" si="1"/>
        <v>DJ Augustin</v>
      </c>
      <c r="B355" s="23" t="s">
        <v>651</v>
      </c>
      <c r="C355" s="39">
        <v>0.0</v>
      </c>
      <c r="D355" s="24"/>
      <c r="E355" s="23" t="s">
        <v>651</v>
      </c>
      <c r="F355" s="16">
        <v>2.0</v>
      </c>
      <c r="G355" s="33" t="s">
        <v>425</v>
      </c>
      <c r="H355" s="16" t="s">
        <v>305</v>
      </c>
      <c r="I355" s="16" t="s">
        <v>427</v>
      </c>
      <c r="J355" s="16">
        <v>234.0</v>
      </c>
      <c r="K355" s="34">
        <v>115.0</v>
      </c>
      <c r="L355" s="39">
        <v>51.0</v>
      </c>
      <c r="M355" s="16">
        <v>195.0</v>
      </c>
      <c r="N355" s="47">
        <f>+144</f>
        <v>144</v>
      </c>
      <c r="O355" s="39">
        <v>0.0</v>
      </c>
      <c r="P355" s="22">
        <v>3800.0</v>
      </c>
      <c r="Q355" s="22">
        <v>0.0</v>
      </c>
      <c r="R355" s="22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30" t="str">
        <f t="shared" si="1"/>
        <v>Kyle Lowry</v>
      </c>
      <c r="B356" s="23" t="s">
        <v>652</v>
      </c>
      <c r="C356" s="39">
        <v>0.0</v>
      </c>
      <c r="D356" s="24"/>
      <c r="E356" s="23" t="s">
        <v>652</v>
      </c>
      <c r="F356" s="16">
        <v>3.0</v>
      </c>
      <c r="G356" s="33" t="s">
        <v>435</v>
      </c>
      <c r="H356" s="16" t="s">
        <v>430</v>
      </c>
      <c r="I356" s="16" t="s">
        <v>436</v>
      </c>
      <c r="J356" s="16">
        <v>221.5</v>
      </c>
      <c r="K356" s="39">
        <v>108.0</v>
      </c>
      <c r="L356" s="39">
        <v>54.0</v>
      </c>
      <c r="M356" s="16">
        <v>42.0</v>
      </c>
      <c r="N356" s="39">
        <v>-12.0</v>
      </c>
      <c r="O356" s="39">
        <v>0.0</v>
      </c>
      <c r="P356" s="22">
        <v>7000.0</v>
      </c>
      <c r="Q356" s="22">
        <v>0.0</v>
      </c>
      <c r="R356" s="22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30" t="str">
        <f t="shared" si="1"/>
        <v>Eric Gordon</v>
      </c>
      <c r="B357" s="23" t="s">
        <v>653</v>
      </c>
      <c r="C357" s="39">
        <v>0.0</v>
      </c>
      <c r="D357" s="24"/>
      <c r="E357" s="23" t="s">
        <v>653</v>
      </c>
      <c r="F357" s="16">
        <v>34.0</v>
      </c>
      <c r="G357" s="33" t="s">
        <v>425</v>
      </c>
      <c r="H357" s="16" t="s">
        <v>270</v>
      </c>
      <c r="I357" s="16" t="s">
        <v>427</v>
      </c>
      <c r="J357" s="16">
        <v>234.0</v>
      </c>
      <c r="K357" s="34">
        <v>115.0</v>
      </c>
      <c r="L357" s="16">
        <v>47.0</v>
      </c>
      <c r="M357" s="16">
        <v>147.0</v>
      </c>
      <c r="N357" s="48">
        <f>+100</f>
        <v>100</v>
      </c>
      <c r="O357" s="39">
        <v>0.0</v>
      </c>
      <c r="P357" s="22">
        <v>4300.0</v>
      </c>
      <c r="Q357" s="22">
        <v>0.0</v>
      </c>
      <c r="R357" s="22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30" t="str">
        <f t="shared" si="1"/>
        <v>Blake Griffin</v>
      </c>
      <c r="B358" s="23" t="s">
        <v>654</v>
      </c>
      <c r="C358" s="39">
        <v>0.0</v>
      </c>
      <c r="D358" s="26"/>
      <c r="E358" s="23" t="s">
        <v>654</v>
      </c>
      <c r="F358" s="16">
        <v>1.0</v>
      </c>
      <c r="G358" s="32" t="s">
        <v>444</v>
      </c>
      <c r="H358" s="16" t="s">
        <v>302</v>
      </c>
      <c r="I358" s="16" t="s">
        <v>445</v>
      </c>
      <c r="J358" s="16">
        <v>225.5</v>
      </c>
      <c r="K358" s="16">
        <v>108.5</v>
      </c>
      <c r="L358" s="39">
        <v>55.0</v>
      </c>
      <c r="M358" s="16">
        <v>146.0</v>
      </c>
      <c r="N358" s="53">
        <f>+91</f>
        <v>91</v>
      </c>
      <c r="O358" s="39">
        <v>0.0</v>
      </c>
      <c r="P358" s="22">
        <v>4300.0</v>
      </c>
      <c r="Q358" s="22">
        <v>0.0</v>
      </c>
      <c r="R358" s="22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30" t="str">
        <f t="shared" si="1"/>
        <v>Udonis Haslem</v>
      </c>
      <c r="B359" s="23" t="s">
        <v>655</v>
      </c>
      <c r="C359" s="39">
        <v>0.0</v>
      </c>
      <c r="D359" s="26"/>
      <c r="E359" s="23" t="s">
        <v>655</v>
      </c>
      <c r="F359" s="16" t="s">
        <v>382</v>
      </c>
      <c r="G359" s="32" t="s">
        <v>449</v>
      </c>
      <c r="H359" s="16" t="s">
        <v>430</v>
      </c>
      <c r="I359" s="16" t="s">
        <v>450</v>
      </c>
      <c r="J359" s="16">
        <v>209.0</v>
      </c>
      <c r="K359" s="41">
        <v>101.5</v>
      </c>
      <c r="L359" s="39">
        <v>53.0</v>
      </c>
      <c r="M359" s="16">
        <v>251.0</v>
      </c>
      <c r="N359" s="48">
        <f>+198</f>
        <v>198</v>
      </c>
      <c r="O359" s="39">
        <v>0.0</v>
      </c>
      <c r="P359" s="22">
        <v>3500.0</v>
      </c>
      <c r="Q359" s="22">
        <v>0.0</v>
      </c>
      <c r="R359" s="22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30" t="str">
        <f t="shared" si="1"/>
        <v>James Harden</v>
      </c>
      <c r="B360" s="23" t="s">
        <v>656</v>
      </c>
      <c r="C360" s="39">
        <v>0.0</v>
      </c>
      <c r="D360" s="26"/>
      <c r="E360" s="23" t="s">
        <v>656</v>
      </c>
      <c r="F360" s="16">
        <v>9.0</v>
      </c>
      <c r="G360" s="32" t="s">
        <v>444</v>
      </c>
      <c r="H360" s="16" t="s">
        <v>277</v>
      </c>
      <c r="I360" s="16" t="s">
        <v>445</v>
      </c>
      <c r="J360" s="16">
        <v>225.5</v>
      </c>
      <c r="K360" s="16">
        <v>108.5</v>
      </c>
      <c r="L360" s="39">
        <v>63.0</v>
      </c>
      <c r="M360" s="16">
        <v>1.0</v>
      </c>
      <c r="N360" s="41">
        <v>-62.0</v>
      </c>
      <c r="O360" s="39">
        <v>0.0</v>
      </c>
      <c r="P360" s="22">
        <v>11000.0</v>
      </c>
      <c r="Q360" s="22">
        <v>0.0</v>
      </c>
      <c r="R360" s="22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30" t="str">
        <f t="shared" si="1"/>
        <v>Kevin Durant</v>
      </c>
      <c r="B361" s="23" t="s">
        <v>657</v>
      </c>
      <c r="C361" s="39">
        <v>0.0</v>
      </c>
      <c r="D361" s="26"/>
      <c r="E361" s="23" t="s">
        <v>657</v>
      </c>
      <c r="F361" s="16">
        <v>1.0</v>
      </c>
      <c r="G361" s="32" t="s">
        <v>444</v>
      </c>
      <c r="H361" s="16" t="s">
        <v>298</v>
      </c>
      <c r="I361" s="16" t="s">
        <v>445</v>
      </c>
      <c r="J361" s="16">
        <v>225.5</v>
      </c>
      <c r="K361" s="16">
        <v>108.5</v>
      </c>
      <c r="L361" s="16">
        <v>48.0</v>
      </c>
      <c r="M361" s="16">
        <v>10.0</v>
      </c>
      <c r="N361" s="41">
        <v>-38.0</v>
      </c>
      <c r="O361" s="39">
        <v>0.0</v>
      </c>
      <c r="P361" s="22">
        <v>9600.0</v>
      </c>
      <c r="Q361" s="22">
        <v>0.0</v>
      </c>
      <c r="R361" s="22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30" t="str">
        <f t="shared" si="1"/>
        <v>Norvel Pelle</v>
      </c>
      <c r="B362" s="23" t="s">
        <v>658</v>
      </c>
      <c r="C362" s="39">
        <v>0.0</v>
      </c>
      <c r="D362" s="26"/>
      <c r="E362" s="23" t="s">
        <v>658</v>
      </c>
      <c r="F362" s="16">
        <v>2.0</v>
      </c>
      <c r="G362" s="32" t="s">
        <v>438</v>
      </c>
      <c r="H362" s="16" t="s">
        <v>305</v>
      </c>
      <c r="I362" s="16" t="s">
        <v>439</v>
      </c>
      <c r="J362" s="16">
        <v>219.5</v>
      </c>
      <c r="K362" s="16">
        <v>108.5</v>
      </c>
      <c r="L362" s="39">
        <v>58.0</v>
      </c>
      <c r="M362" s="16">
        <v>259.0</v>
      </c>
      <c r="N362" s="48">
        <f>+201</f>
        <v>201</v>
      </c>
      <c r="O362" s="39">
        <v>0.0</v>
      </c>
      <c r="P362" s="22">
        <v>3500.0</v>
      </c>
      <c r="Q362" s="22">
        <v>0.0</v>
      </c>
      <c r="R362" s="22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30" t="str">
        <f t="shared" si="1"/>
        <v>LaMarcus Aldridge</v>
      </c>
      <c r="B363" s="23" t="s">
        <v>659</v>
      </c>
      <c r="C363" s="39">
        <v>0.0</v>
      </c>
      <c r="D363" s="26"/>
      <c r="E363" s="23" t="s">
        <v>659</v>
      </c>
      <c r="F363" s="16">
        <v>4.0</v>
      </c>
      <c r="G363" s="32" t="s">
        <v>444</v>
      </c>
      <c r="H363" s="16" t="s">
        <v>302</v>
      </c>
      <c r="I363" s="16" t="s">
        <v>445</v>
      </c>
      <c r="J363" s="16">
        <v>225.5</v>
      </c>
      <c r="K363" s="16">
        <v>108.5</v>
      </c>
      <c r="L363" s="16">
        <v>34.0</v>
      </c>
      <c r="M363" s="16">
        <v>91.0</v>
      </c>
      <c r="N363" s="30">
        <f>+57</f>
        <v>57</v>
      </c>
      <c r="O363" s="39">
        <v>0.0</v>
      </c>
      <c r="P363" s="22">
        <v>5400.0</v>
      </c>
      <c r="Q363" s="22">
        <v>0.0</v>
      </c>
      <c r="R363" s="22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6"/>
      <c r="B364" s="23" t="s">
        <v>660</v>
      </c>
      <c r="C364" s="39">
        <v>0.0</v>
      </c>
      <c r="D364" s="26"/>
      <c r="E364" s="23" t="s">
        <v>660</v>
      </c>
      <c r="F364" s="16">
        <v>1.0</v>
      </c>
      <c r="G364" s="32" t="s">
        <v>444</v>
      </c>
      <c r="H364" s="16" t="s">
        <v>467</v>
      </c>
      <c r="I364" s="16" t="s">
        <v>445</v>
      </c>
      <c r="J364" s="16">
        <v>225.5</v>
      </c>
      <c r="K364" s="16">
        <v>108.5</v>
      </c>
      <c r="L364" s="39">
        <v>57.0</v>
      </c>
      <c r="M364" s="16">
        <v>239.0</v>
      </c>
      <c r="N364" s="48">
        <f>+182</f>
        <v>182</v>
      </c>
      <c r="O364" s="39">
        <v>0.0</v>
      </c>
      <c r="P364" s="22">
        <v>3500.0</v>
      </c>
      <c r="Q364" s="22">
        <v>0.0</v>
      </c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6"/>
      <c r="B365" s="23" t="s">
        <v>661</v>
      </c>
      <c r="C365" s="39">
        <v>0.0</v>
      </c>
      <c r="D365" s="26"/>
      <c r="E365" s="23" t="s">
        <v>661</v>
      </c>
      <c r="F365" s="16">
        <v>80.0</v>
      </c>
      <c r="G365" s="32" t="s">
        <v>465</v>
      </c>
      <c r="H365" s="16" t="s">
        <v>311</v>
      </c>
      <c r="I365" s="16" t="s">
        <v>445</v>
      </c>
      <c r="J365" s="16">
        <v>225.5</v>
      </c>
      <c r="K365" s="34">
        <v>117.0</v>
      </c>
      <c r="L365" s="52">
        <v>75.0</v>
      </c>
      <c r="M365" s="16">
        <v>178.0</v>
      </c>
      <c r="N365" s="48">
        <f>+103</f>
        <v>103</v>
      </c>
      <c r="O365" s="39">
        <v>0.0</v>
      </c>
      <c r="P365" s="22">
        <v>4000.0</v>
      </c>
      <c r="Q365" s="22">
        <v>0.0</v>
      </c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6"/>
      <c r="B366" s="23" t="s">
        <v>662</v>
      </c>
      <c r="C366" s="39">
        <v>0.0</v>
      </c>
      <c r="D366" s="26"/>
      <c r="E366" s="23" t="s">
        <v>662</v>
      </c>
      <c r="F366" s="16">
        <v>2.0</v>
      </c>
      <c r="G366" s="32" t="s">
        <v>478</v>
      </c>
      <c r="H366" s="16" t="s">
        <v>258</v>
      </c>
      <c r="I366" s="16" t="s">
        <v>450</v>
      </c>
      <c r="J366" s="16">
        <v>209.0</v>
      </c>
      <c r="K366" s="39">
        <v>107.5</v>
      </c>
      <c r="L366" s="16">
        <v>31.0</v>
      </c>
      <c r="M366" s="16">
        <v>223.0</v>
      </c>
      <c r="N366" s="48">
        <f>+192</f>
        <v>192</v>
      </c>
      <c r="O366" s="39">
        <v>0.0</v>
      </c>
      <c r="P366" s="22">
        <v>3500.0</v>
      </c>
      <c r="Q366" s="22">
        <v>0.0</v>
      </c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6"/>
      <c r="B367" s="23" t="s">
        <v>663</v>
      </c>
      <c r="C367" s="39">
        <v>0.0</v>
      </c>
      <c r="D367" s="26"/>
      <c r="E367" s="23" t="s">
        <v>663</v>
      </c>
      <c r="F367" s="16" t="s">
        <v>382</v>
      </c>
      <c r="G367" s="32" t="s">
        <v>465</v>
      </c>
      <c r="H367" s="16" t="s">
        <v>284</v>
      </c>
      <c r="I367" s="16" t="s">
        <v>445</v>
      </c>
      <c r="J367" s="16">
        <v>225.5</v>
      </c>
      <c r="K367" s="34">
        <v>117.0</v>
      </c>
      <c r="L367" s="39">
        <v>60.0</v>
      </c>
      <c r="M367" s="16">
        <v>234.0</v>
      </c>
      <c r="N367" s="48">
        <f>+174</f>
        <v>174</v>
      </c>
      <c r="O367" s="39">
        <v>0.0</v>
      </c>
      <c r="P367" s="22">
        <v>3500.0</v>
      </c>
      <c r="Q367" s="22">
        <v>0.0</v>
      </c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6"/>
      <c r="B368" s="23" t="s">
        <v>664</v>
      </c>
      <c r="C368" s="39">
        <v>0.0</v>
      </c>
      <c r="D368" s="26"/>
      <c r="E368" s="23" t="s">
        <v>664</v>
      </c>
      <c r="F368" s="16">
        <v>31.0</v>
      </c>
      <c r="G368" s="32" t="s">
        <v>482</v>
      </c>
      <c r="H368" s="16" t="s">
        <v>486</v>
      </c>
      <c r="I368" s="16" t="s">
        <v>473</v>
      </c>
      <c r="J368" s="16">
        <v>216.5</v>
      </c>
      <c r="K368" s="16">
        <v>110.0</v>
      </c>
      <c r="L368" s="39">
        <v>61.0</v>
      </c>
      <c r="M368" s="16">
        <v>127.0</v>
      </c>
      <c r="N368" s="53">
        <f>+66</f>
        <v>66</v>
      </c>
      <c r="O368" s="39">
        <v>0.0</v>
      </c>
      <c r="P368" s="22">
        <v>4800.0</v>
      </c>
      <c r="Q368" s="22">
        <v>0.0</v>
      </c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6"/>
      <c r="B369" s="23" t="s">
        <v>665</v>
      </c>
      <c r="C369" s="24"/>
      <c r="D369" s="26"/>
      <c r="E369" s="23" t="s">
        <v>665</v>
      </c>
      <c r="F369" s="26"/>
      <c r="G369" s="26"/>
      <c r="H369" s="24"/>
      <c r="I369" s="24"/>
      <c r="J369" s="24"/>
      <c r="K369" s="5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6"/>
      <c r="B370" s="26"/>
      <c r="C370" s="24"/>
      <c r="D370" s="26"/>
      <c r="E370" s="26"/>
      <c r="F370" s="26"/>
      <c r="G370" s="26"/>
      <c r="H370" s="24"/>
      <c r="I370" s="24"/>
      <c r="J370" s="24"/>
      <c r="K370" s="5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6"/>
      <c r="B371" s="26"/>
      <c r="C371" s="24"/>
      <c r="D371" s="26"/>
      <c r="E371" s="26"/>
      <c r="F371" s="26"/>
      <c r="G371" s="26"/>
      <c r="H371" s="24"/>
      <c r="I371" s="24"/>
      <c r="J371" s="24"/>
      <c r="K371" s="5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6"/>
      <c r="B372" s="26"/>
      <c r="C372" s="24"/>
      <c r="D372" s="26"/>
      <c r="E372" s="26"/>
      <c r="F372" s="26"/>
      <c r="G372" s="26"/>
      <c r="H372" s="24"/>
      <c r="I372" s="24"/>
      <c r="J372" s="24"/>
      <c r="K372" s="5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6"/>
      <c r="B373" s="26"/>
      <c r="C373" s="24"/>
      <c r="D373" s="26"/>
      <c r="E373" s="26"/>
      <c r="F373" s="26"/>
      <c r="G373" s="26"/>
      <c r="H373" s="24"/>
      <c r="I373" s="24"/>
      <c r="J373" s="24"/>
      <c r="K373" s="5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6"/>
      <c r="B374" s="26"/>
      <c r="C374" s="24"/>
      <c r="D374" s="26"/>
      <c r="E374" s="26"/>
      <c r="F374" s="26"/>
      <c r="G374" s="26"/>
      <c r="H374" s="24"/>
      <c r="I374" s="24"/>
      <c r="J374" s="24"/>
      <c r="K374" s="5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6"/>
      <c r="B375" s="26"/>
      <c r="C375" s="24"/>
      <c r="D375" s="26"/>
      <c r="E375" s="26"/>
      <c r="F375" s="26"/>
      <c r="G375" s="26"/>
      <c r="H375" s="24"/>
      <c r="I375" s="24"/>
      <c r="J375" s="24"/>
      <c r="K375" s="5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6"/>
      <c r="B376" s="26"/>
      <c r="C376" s="24"/>
      <c r="D376" s="26"/>
      <c r="E376" s="26"/>
      <c r="F376" s="26"/>
      <c r="G376" s="26"/>
      <c r="H376" s="24"/>
      <c r="I376" s="24"/>
      <c r="J376" s="24"/>
      <c r="K376" s="5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6"/>
      <c r="B377" s="26"/>
      <c r="C377" s="24"/>
      <c r="D377" s="26"/>
      <c r="E377" s="26"/>
      <c r="F377" s="26"/>
      <c r="G377" s="26"/>
      <c r="H377" s="24"/>
      <c r="I377" s="24"/>
      <c r="J377" s="24"/>
      <c r="K377" s="5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6"/>
      <c r="B378" s="26"/>
      <c r="C378" s="24"/>
      <c r="D378" s="26"/>
      <c r="E378" s="26"/>
      <c r="F378" s="26"/>
      <c r="G378" s="26"/>
      <c r="H378" s="24"/>
      <c r="I378" s="24"/>
      <c r="J378" s="24"/>
      <c r="K378" s="5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6"/>
      <c r="B379" s="26"/>
      <c r="C379" s="24"/>
      <c r="D379" s="26"/>
      <c r="E379" s="26"/>
      <c r="F379" s="26"/>
      <c r="G379" s="26"/>
      <c r="H379" s="24"/>
      <c r="I379" s="24"/>
      <c r="J379" s="24"/>
      <c r="K379" s="5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6"/>
      <c r="B380" s="26"/>
      <c r="C380" s="24"/>
      <c r="D380" s="26"/>
      <c r="E380" s="26"/>
      <c r="F380" s="26"/>
      <c r="G380" s="26"/>
      <c r="H380" s="24"/>
      <c r="I380" s="24"/>
      <c r="J380" s="24"/>
      <c r="K380" s="5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6"/>
      <c r="B381" s="26"/>
      <c r="C381" s="24"/>
      <c r="D381" s="26"/>
      <c r="E381" s="26"/>
      <c r="F381" s="26"/>
      <c r="G381" s="26"/>
      <c r="H381" s="24"/>
      <c r="I381" s="24"/>
      <c r="J381" s="24"/>
      <c r="K381" s="5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6"/>
      <c r="B382" s="26"/>
      <c r="C382" s="24"/>
      <c r="D382" s="26"/>
      <c r="E382" s="26"/>
      <c r="F382" s="26"/>
      <c r="G382" s="26"/>
      <c r="H382" s="24"/>
      <c r="I382" s="24"/>
      <c r="J382" s="24"/>
      <c r="K382" s="5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6"/>
      <c r="B383" s="26"/>
      <c r="C383" s="24"/>
      <c r="D383" s="26"/>
      <c r="E383" s="26"/>
      <c r="F383" s="26"/>
      <c r="G383" s="26"/>
      <c r="H383" s="24"/>
      <c r="I383" s="24"/>
      <c r="J383" s="24"/>
      <c r="K383" s="5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6"/>
      <c r="B384" s="26"/>
      <c r="C384" s="24"/>
      <c r="D384" s="26"/>
      <c r="E384" s="26"/>
      <c r="F384" s="26"/>
      <c r="G384" s="26"/>
      <c r="H384" s="24"/>
      <c r="I384" s="24"/>
      <c r="J384" s="24"/>
      <c r="K384" s="5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6"/>
      <c r="B385" s="26"/>
      <c r="C385" s="24"/>
      <c r="D385" s="26"/>
      <c r="E385" s="26"/>
      <c r="F385" s="26"/>
      <c r="G385" s="26"/>
      <c r="H385" s="24"/>
      <c r="I385" s="24"/>
      <c r="J385" s="24"/>
      <c r="K385" s="5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6"/>
      <c r="B386" s="26"/>
      <c r="C386" s="24"/>
      <c r="D386" s="26"/>
      <c r="E386" s="26"/>
      <c r="F386" s="26"/>
      <c r="G386" s="26"/>
      <c r="H386" s="24"/>
      <c r="I386" s="24"/>
      <c r="J386" s="24"/>
      <c r="K386" s="5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6"/>
      <c r="B387" s="26"/>
      <c r="C387" s="24"/>
      <c r="D387" s="26"/>
      <c r="E387" s="26"/>
      <c r="F387" s="26"/>
      <c r="G387" s="26"/>
      <c r="H387" s="24"/>
      <c r="I387" s="24"/>
      <c r="J387" s="24"/>
      <c r="K387" s="5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6"/>
      <c r="B388" s="26"/>
      <c r="C388" s="24"/>
      <c r="D388" s="26"/>
      <c r="E388" s="26"/>
      <c r="F388" s="26"/>
      <c r="G388" s="26"/>
      <c r="H388" s="24"/>
      <c r="I388" s="24"/>
      <c r="J388" s="24"/>
      <c r="K388" s="5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6"/>
      <c r="B389" s="26"/>
      <c r="C389" s="24"/>
      <c r="D389" s="26"/>
      <c r="E389" s="26"/>
      <c r="F389" s="26"/>
      <c r="G389" s="26"/>
      <c r="H389" s="24"/>
      <c r="I389" s="24"/>
      <c r="J389" s="24"/>
      <c r="K389" s="5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6"/>
      <c r="B390" s="26"/>
      <c r="C390" s="24"/>
      <c r="D390" s="26"/>
      <c r="E390" s="26"/>
      <c r="F390" s="26"/>
      <c r="G390" s="26"/>
      <c r="H390" s="24"/>
      <c r="I390" s="24"/>
      <c r="J390" s="24"/>
      <c r="K390" s="5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6"/>
      <c r="B391" s="26"/>
      <c r="C391" s="24"/>
      <c r="D391" s="26"/>
      <c r="E391" s="26"/>
      <c r="F391" s="26"/>
      <c r="G391" s="26"/>
      <c r="H391" s="24"/>
      <c r="I391" s="24"/>
      <c r="J391" s="24"/>
      <c r="K391" s="5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6"/>
      <c r="B392" s="26"/>
      <c r="C392" s="24"/>
      <c r="D392" s="26"/>
      <c r="E392" s="26"/>
      <c r="F392" s="26"/>
      <c r="G392" s="26"/>
      <c r="H392" s="24"/>
      <c r="I392" s="24"/>
      <c r="J392" s="24"/>
      <c r="K392" s="5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6"/>
      <c r="B393" s="26"/>
      <c r="C393" s="24"/>
      <c r="D393" s="26"/>
      <c r="E393" s="26"/>
      <c r="F393" s="26"/>
      <c r="G393" s="26"/>
      <c r="H393" s="24"/>
      <c r="I393" s="24"/>
      <c r="J393" s="24"/>
      <c r="K393" s="5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6"/>
      <c r="B394" s="26"/>
      <c r="C394" s="24"/>
      <c r="D394" s="26"/>
      <c r="E394" s="26"/>
      <c r="F394" s="26"/>
      <c r="G394" s="26"/>
      <c r="H394" s="24"/>
      <c r="I394" s="24"/>
      <c r="J394" s="24"/>
      <c r="K394" s="5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6"/>
      <c r="B395" s="26"/>
      <c r="C395" s="24"/>
      <c r="D395" s="26"/>
      <c r="E395" s="26"/>
      <c r="F395" s="26"/>
      <c r="G395" s="26"/>
      <c r="H395" s="24"/>
      <c r="I395" s="24"/>
      <c r="J395" s="24"/>
      <c r="K395" s="5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6"/>
      <c r="B396" s="26"/>
      <c r="C396" s="24"/>
      <c r="D396" s="26"/>
      <c r="E396" s="26"/>
      <c r="F396" s="26"/>
      <c r="G396" s="26"/>
      <c r="H396" s="24"/>
      <c r="I396" s="24"/>
      <c r="J396" s="24"/>
      <c r="K396" s="5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6"/>
      <c r="B397" s="26"/>
      <c r="C397" s="24"/>
      <c r="D397" s="26"/>
      <c r="E397" s="26"/>
      <c r="F397" s="26"/>
      <c r="G397" s="26"/>
      <c r="H397" s="24"/>
      <c r="I397" s="24"/>
      <c r="J397" s="24"/>
      <c r="K397" s="5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6"/>
      <c r="B398" s="26"/>
      <c r="C398" s="24"/>
      <c r="D398" s="26"/>
      <c r="E398" s="26"/>
      <c r="F398" s="26"/>
      <c r="G398" s="26"/>
      <c r="H398" s="24"/>
      <c r="I398" s="24"/>
      <c r="J398" s="24"/>
      <c r="K398" s="5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6"/>
      <c r="B399" s="26"/>
      <c r="C399" s="24"/>
      <c r="D399" s="26"/>
      <c r="E399" s="26"/>
      <c r="F399" s="26"/>
      <c r="G399" s="26"/>
      <c r="H399" s="24"/>
      <c r="I399" s="24"/>
      <c r="J399" s="24"/>
      <c r="K399" s="5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6"/>
      <c r="B400" s="26"/>
      <c r="C400" s="24"/>
      <c r="D400" s="26"/>
      <c r="E400" s="26"/>
      <c r="F400" s="26"/>
      <c r="G400" s="26"/>
      <c r="H400" s="24"/>
      <c r="I400" s="24"/>
      <c r="J400" s="24"/>
      <c r="K400" s="5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6"/>
      <c r="B401" s="26"/>
      <c r="C401" s="24"/>
      <c r="D401" s="26"/>
      <c r="E401" s="26"/>
      <c r="F401" s="26"/>
      <c r="G401" s="26"/>
      <c r="H401" s="24"/>
      <c r="I401" s="24"/>
      <c r="J401" s="24"/>
      <c r="K401" s="5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6"/>
      <c r="B402" s="26"/>
      <c r="C402" s="24"/>
      <c r="D402" s="26"/>
      <c r="E402" s="26"/>
      <c r="F402" s="26"/>
      <c r="G402" s="26"/>
      <c r="H402" s="24"/>
      <c r="I402" s="24"/>
      <c r="J402" s="24"/>
      <c r="K402" s="5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6"/>
      <c r="B403" s="26"/>
      <c r="C403" s="24"/>
      <c r="D403" s="26"/>
      <c r="E403" s="26"/>
      <c r="F403" s="26"/>
      <c r="G403" s="26"/>
      <c r="H403" s="24"/>
      <c r="I403" s="24"/>
      <c r="J403" s="24"/>
      <c r="K403" s="5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6"/>
      <c r="B404" s="26"/>
      <c r="C404" s="24"/>
      <c r="D404" s="26"/>
      <c r="E404" s="26"/>
      <c r="F404" s="26"/>
      <c r="G404" s="26"/>
      <c r="H404" s="24"/>
      <c r="I404" s="24"/>
      <c r="J404" s="24"/>
      <c r="K404" s="5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6"/>
      <c r="B405" s="26"/>
      <c r="C405" s="24"/>
      <c r="D405" s="26"/>
      <c r="E405" s="26"/>
      <c r="F405" s="26"/>
      <c r="G405" s="26"/>
      <c r="H405" s="24"/>
      <c r="I405" s="24"/>
      <c r="J405" s="24"/>
      <c r="K405" s="5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6"/>
      <c r="B406" s="26"/>
      <c r="C406" s="24"/>
      <c r="D406" s="26"/>
      <c r="E406" s="26"/>
      <c r="F406" s="26"/>
      <c r="G406" s="26"/>
      <c r="H406" s="24"/>
      <c r="I406" s="24"/>
      <c r="J406" s="24"/>
      <c r="K406" s="5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6"/>
      <c r="B407" s="26"/>
      <c r="C407" s="24"/>
      <c r="D407" s="26"/>
      <c r="E407" s="26"/>
      <c r="F407" s="26"/>
      <c r="G407" s="26"/>
      <c r="H407" s="24"/>
      <c r="I407" s="24"/>
      <c r="J407" s="24"/>
      <c r="K407" s="5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6"/>
      <c r="B408" s="26"/>
      <c r="C408" s="24"/>
      <c r="D408" s="26"/>
      <c r="E408" s="26"/>
      <c r="F408" s="26"/>
      <c r="G408" s="26"/>
      <c r="H408" s="24"/>
      <c r="I408" s="24"/>
      <c r="J408" s="24"/>
      <c r="K408" s="5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6"/>
      <c r="B409" s="26"/>
      <c r="C409" s="24"/>
      <c r="D409" s="26"/>
      <c r="E409" s="26"/>
      <c r="F409" s="26"/>
      <c r="G409" s="26"/>
      <c r="H409" s="24"/>
      <c r="I409" s="24"/>
      <c r="J409" s="24"/>
      <c r="K409" s="5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6"/>
      <c r="B410" s="26"/>
      <c r="C410" s="24"/>
      <c r="D410" s="26"/>
      <c r="E410" s="26"/>
      <c r="F410" s="26"/>
      <c r="G410" s="26"/>
      <c r="H410" s="24"/>
      <c r="I410" s="24"/>
      <c r="J410" s="24"/>
      <c r="K410" s="5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6"/>
      <c r="B411" s="26"/>
      <c r="C411" s="24"/>
      <c r="D411" s="26"/>
      <c r="E411" s="26"/>
      <c r="F411" s="26"/>
      <c r="G411" s="26"/>
      <c r="H411" s="24"/>
      <c r="I411" s="24"/>
      <c r="J411" s="24"/>
      <c r="K411" s="5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6"/>
      <c r="B412" s="26"/>
      <c r="C412" s="24"/>
      <c r="D412" s="26"/>
      <c r="E412" s="26"/>
      <c r="F412" s="26"/>
      <c r="G412" s="26"/>
      <c r="H412" s="24"/>
      <c r="I412" s="24"/>
      <c r="J412" s="24"/>
      <c r="K412" s="5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6"/>
      <c r="B413" s="26"/>
      <c r="C413" s="24"/>
      <c r="D413" s="26"/>
      <c r="E413" s="26"/>
      <c r="F413" s="26"/>
      <c r="G413" s="26"/>
      <c r="H413" s="24"/>
      <c r="I413" s="24"/>
      <c r="J413" s="24"/>
      <c r="K413" s="5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6"/>
      <c r="B414" s="26"/>
      <c r="C414" s="24"/>
      <c r="D414" s="26"/>
      <c r="E414" s="26"/>
      <c r="F414" s="26"/>
      <c r="G414" s="26"/>
      <c r="H414" s="24"/>
      <c r="I414" s="24"/>
      <c r="J414" s="24"/>
      <c r="K414" s="5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6"/>
      <c r="B415" s="26"/>
      <c r="C415" s="24"/>
      <c r="D415" s="26"/>
      <c r="E415" s="26"/>
      <c r="F415" s="26"/>
      <c r="G415" s="26"/>
      <c r="H415" s="24"/>
      <c r="I415" s="24"/>
      <c r="J415" s="24"/>
      <c r="K415" s="5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6"/>
      <c r="B416" s="26"/>
      <c r="C416" s="24"/>
      <c r="D416" s="26"/>
      <c r="E416" s="26"/>
      <c r="F416" s="26"/>
      <c r="G416" s="26"/>
      <c r="H416" s="24"/>
      <c r="I416" s="24"/>
      <c r="J416" s="24"/>
      <c r="K416" s="5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6"/>
      <c r="B417" s="26"/>
      <c r="C417" s="24"/>
      <c r="D417" s="26"/>
      <c r="E417" s="26"/>
      <c r="F417" s="26"/>
      <c r="G417" s="26"/>
      <c r="H417" s="24"/>
      <c r="I417" s="24"/>
      <c r="J417" s="24"/>
      <c r="K417" s="5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6"/>
      <c r="B418" s="26"/>
      <c r="C418" s="24"/>
      <c r="D418" s="26"/>
      <c r="E418" s="26"/>
      <c r="F418" s="26"/>
      <c r="G418" s="26"/>
      <c r="H418" s="24"/>
      <c r="I418" s="24"/>
      <c r="J418" s="24"/>
      <c r="K418" s="5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6"/>
      <c r="B419" s="26"/>
      <c r="C419" s="24"/>
      <c r="D419" s="26"/>
      <c r="E419" s="26"/>
      <c r="F419" s="26"/>
      <c r="G419" s="26"/>
      <c r="H419" s="24"/>
      <c r="I419" s="24"/>
      <c r="J419" s="24"/>
      <c r="K419" s="5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6"/>
      <c r="B420" s="26"/>
      <c r="C420" s="24"/>
      <c r="D420" s="26"/>
      <c r="E420" s="26"/>
      <c r="F420" s="26"/>
      <c r="G420" s="26"/>
      <c r="H420" s="24"/>
      <c r="I420" s="24"/>
      <c r="J420" s="24"/>
      <c r="K420" s="5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6"/>
      <c r="B421" s="26"/>
      <c r="C421" s="24"/>
      <c r="D421" s="26"/>
      <c r="E421" s="26"/>
      <c r="F421" s="26"/>
      <c r="G421" s="26"/>
      <c r="H421" s="24"/>
      <c r="I421" s="24"/>
      <c r="J421" s="24"/>
      <c r="K421" s="5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6"/>
      <c r="B422" s="26"/>
      <c r="C422" s="24"/>
      <c r="D422" s="26"/>
      <c r="E422" s="26"/>
      <c r="F422" s="26"/>
      <c r="G422" s="26"/>
      <c r="H422" s="24"/>
      <c r="I422" s="24"/>
      <c r="J422" s="24"/>
      <c r="K422" s="5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6"/>
      <c r="B423" s="26"/>
      <c r="C423" s="24"/>
      <c r="D423" s="26"/>
      <c r="E423" s="26"/>
      <c r="F423" s="26"/>
      <c r="G423" s="26"/>
      <c r="H423" s="24"/>
      <c r="I423" s="24"/>
      <c r="J423" s="24"/>
      <c r="K423" s="5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6"/>
      <c r="B424" s="26"/>
      <c r="C424" s="24"/>
      <c r="D424" s="26"/>
      <c r="E424" s="26"/>
      <c r="F424" s="26"/>
      <c r="G424" s="26"/>
      <c r="H424" s="24"/>
      <c r="I424" s="24"/>
      <c r="J424" s="24"/>
      <c r="K424" s="5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6"/>
      <c r="B425" s="26"/>
      <c r="C425" s="24"/>
      <c r="D425" s="26"/>
      <c r="E425" s="26"/>
      <c r="F425" s="26"/>
      <c r="G425" s="26"/>
      <c r="H425" s="24"/>
      <c r="I425" s="24"/>
      <c r="J425" s="24"/>
      <c r="K425" s="5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6"/>
      <c r="B426" s="26"/>
      <c r="C426" s="24"/>
      <c r="D426" s="26"/>
      <c r="E426" s="26"/>
      <c r="F426" s="26"/>
      <c r="G426" s="26"/>
      <c r="H426" s="24"/>
      <c r="I426" s="24"/>
      <c r="J426" s="24"/>
      <c r="K426" s="5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6"/>
      <c r="B427" s="26"/>
      <c r="C427" s="24"/>
      <c r="D427" s="26"/>
      <c r="E427" s="26"/>
      <c r="F427" s="26"/>
      <c r="G427" s="26"/>
      <c r="H427" s="24"/>
      <c r="I427" s="24"/>
      <c r="J427" s="24"/>
      <c r="K427" s="5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6"/>
      <c r="B428" s="26"/>
      <c r="C428" s="24"/>
      <c r="D428" s="26"/>
      <c r="E428" s="26"/>
      <c r="F428" s="26"/>
      <c r="G428" s="26"/>
      <c r="H428" s="24"/>
      <c r="I428" s="24"/>
      <c r="J428" s="24"/>
      <c r="K428" s="5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6"/>
      <c r="B429" s="26"/>
      <c r="C429" s="24"/>
      <c r="D429" s="26"/>
      <c r="E429" s="26"/>
      <c r="F429" s="26"/>
      <c r="G429" s="26"/>
      <c r="H429" s="24"/>
      <c r="I429" s="24"/>
      <c r="J429" s="24"/>
      <c r="K429" s="5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6"/>
      <c r="B430" s="26"/>
      <c r="C430" s="24"/>
      <c r="D430" s="26"/>
      <c r="E430" s="26"/>
      <c r="F430" s="26"/>
      <c r="G430" s="26"/>
      <c r="H430" s="24"/>
      <c r="I430" s="24"/>
      <c r="J430" s="24"/>
      <c r="K430" s="5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6"/>
      <c r="B431" s="26"/>
      <c r="C431" s="24"/>
      <c r="D431" s="26"/>
      <c r="E431" s="26"/>
      <c r="F431" s="26"/>
      <c r="G431" s="26"/>
      <c r="H431" s="24"/>
      <c r="I431" s="24"/>
      <c r="J431" s="24"/>
      <c r="K431" s="5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6"/>
      <c r="B432" s="26"/>
      <c r="C432" s="24"/>
      <c r="D432" s="26"/>
      <c r="E432" s="26"/>
      <c r="F432" s="26"/>
      <c r="G432" s="26"/>
      <c r="H432" s="24"/>
      <c r="I432" s="24"/>
      <c r="J432" s="24"/>
      <c r="K432" s="5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6"/>
      <c r="B433" s="26"/>
      <c r="C433" s="24"/>
      <c r="D433" s="26"/>
      <c r="E433" s="26"/>
      <c r="F433" s="26"/>
      <c r="G433" s="26"/>
      <c r="H433" s="24"/>
      <c r="I433" s="24"/>
      <c r="J433" s="24"/>
      <c r="K433" s="5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6"/>
      <c r="B434" s="26"/>
      <c r="C434" s="24"/>
      <c r="D434" s="26"/>
      <c r="E434" s="26"/>
      <c r="F434" s="26"/>
      <c r="G434" s="26"/>
      <c r="H434" s="24"/>
      <c r="I434" s="24"/>
      <c r="J434" s="24"/>
      <c r="K434" s="5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6"/>
      <c r="B435" s="26"/>
      <c r="C435" s="24"/>
      <c r="D435" s="26"/>
      <c r="E435" s="26"/>
      <c r="F435" s="26"/>
      <c r="G435" s="26"/>
      <c r="H435" s="24"/>
      <c r="I435" s="24"/>
      <c r="J435" s="24"/>
      <c r="K435" s="5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6"/>
      <c r="B436" s="26"/>
      <c r="C436" s="24"/>
      <c r="D436" s="26"/>
      <c r="E436" s="26"/>
      <c r="F436" s="26"/>
      <c r="G436" s="26"/>
      <c r="H436" s="24"/>
      <c r="I436" s="24"/>
      <c r="J436" s="24"/>
      <c r="K436" s="5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6"/>
      <c r="B437" s="26"/>
      <c r="C437" s="24"/>
      <c r="D437" s="26"/>
      <c r="E437" s="26"/>
      <c r="F437" s="26"/>
      <c r="G437" s="26"/>
      <c r="H437" s="24"/>
      <c r="I437" s="24"/>
      <c r="J437" s="24"/>
      <c r="K437" s="5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6"/>
      <c r="B438" s="26"/>
      <c r="C438" s="24"/>
      <c r="D438" s="26"/>
      <c r="E438" s="26"/>
      <c r="F438" s="26"/>
      <c r="G438" s="26"/>
      <c r="H438" s="24"/>
      <c r="I438" s="24"/>
      <c r="J438" s="24"/>
      <c r="K438" s="5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6"/>
      <c r="B439" s="26"/>
      <c r="C439" s="24"/>
      <c r="D439" s="26"/>
      <c r="E439" s="26"/>
      <c r="F439" s="26"/>
      <c r="G439" s="26"/>
      <c r="H439" s="24"/>
      <c r="I439" s="24"/>
      <c r="J439" s="24"/>
      <c r="K439" s="5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6"/>
      <c r="B440" s="26"/>
      <c r="C440" s="24"/>
      <c r="D440" s="26"/>
      <c r="E440" s="26"/>
      <c r="F440" s="26"/>
      <c r="G440" s="26"/>
      <c r="H440" s="24"/>
      <c r="I440" s="24"/>
      <c r="J440" s="24"/>
      <c r="K440" s="5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6"/>
      <c r="B441" s="26"/>
      <c r="C441" s="24"/>
      <c r="D441" s="26"/>
      <c r="E441" s="26"/>
      <c r="F441" s="26"/>
      <c r="G441" s="26"/>
      <c r="H441" s="24"/>
      <c r="I441" s="24"/>
      <c r="J441" s="24"/>
      <c r="K441" s="5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6"/>
      <c r="B442" s="26"/>
      <c r="C442" s="24"/>
      <c r="D442" s="26"/>
      <c r="E442" s="26"/>
      <c r="F442" s="26"/>
      <c r="G442" s="26"/>
      <c r="H442" s="24"/>
      <c r="I442" s="24"/>
      <c r="J442" s="24"/>
      <c r="K442" s="5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6"/>
      <c r="B443" s="26"/>
      <c r="C443" s="24"/>
      <c r="D443" s="26"/>
      <c r="E443" s="26"/>
      <c r="F443" s="26"/>
      <c r="G443" s="26"/>
      <c r="H443" s="24"/>
      <c r="I443" s="24"/>
      <c r="J443" s="24"/>
      <c r="K443" s="5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6"/>
      <c r="B444" s="26"/>
      <c r="C444" s="24"/>
      <c r="D444" s="26"/>
      <c r="E444" s="26"/>
      <c r="F444" s="26"/>
      <c r="G444" s="26"/>
      <c r="H444" s="24"/>
      <c r="I444" s="24"/>
      <c r="J444" s="24"/>
      <c r="K444" s="5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6"/>
      <c r="B445" s="26"/>
      <c r="C445" s="24"/>
      <c r="D445" s="26"/>
      <c r="E445" s="26"/>
      <c r="F445" s="26"/>
      <c r="G445" s="26"/>
      <c r="H445" s="24"/>
      <c r="I445" s="24"/>
      <c r="J445" s="24"/>
      <c r="K445" s="5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6"/>
      <c r="B446" s="26"/>
      <c r="C446" s="24"/>
      <c r="D446" s="26"/>
      <c r="E446" s="26"/>
      <c r="F446" s="26"/>
      <c r="G446" s="26"/>
      <c r="H446" s="24"/>
      <c r="I446" s="24"/>
      <c r="J446" s="24"/>
      <c r="K446" s="5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6"/>
      <c r="B447" s="26"/>
      <c r="C447" s="24"/>
      <c r="D447" s="26"/>
      <c r="E447" s="26"/>
      <c r="F447" s="26"/>
      <c r="G447" s="26"/>
      <c r="H447" s="24"/>
      <c r="I447" s="24"/>
      <c r="J447" s="24"/>
      <c r="K447" s="5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6"/>
      <c r="B448" s="26"/>
      <c r="C448" s="24"/>
      <c r="D448" s="26"/>
      <c r="E448" s="26"/>
      <c r="F448" s="26"/>
      <c r="G448" s="26"/>
      <c r="H448" s="24"/>
      <c r="I448" s="24"/>
      <c r="J448" s="24"/>
      <c r="K448" s="5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6"/>
      <c r="B449" s="26"/>
      <c r="C449" s="24"/>
      <c r="D449" s="26"/>
      <c r="E449" s="26"/>
      <c r="F449" s="26"/>
      <c r="G449" s="26"/>
      <c r="H449" s="24"/>
      <c r="I449" s="24"/>
      <c r="J449" s="24"/>
      <c r="K449" s="5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6"/>
      <c r="B450" s="26"/>
      <c r="C450" s="24"/>
      <c r="D450" s="26"/>
      <c r="E450" s="26"/>
      <c r="F450" s="26"/>
      <c r="G450" s="26"/>
      <c r="H450" s="24"/>
      <c r="I450" s="24"/>
      <c r="J450" s="24"/>
      <c r="K450" s="5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6"/>
      <c r="B451" s="26"/>
      <c r="C451" s="24"/>
      <c r="D451" s="26"/>
      <c r="E451" s="26"/>
      <c r="F451" s="26"/>
      <c r="G451" s="26"/>
      <c r="H451" s="24"/>
      <c r="I451" s="24"/>
      <c r="J451" s="24"/>
      <c r="K451" s="5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6"/>
      <c r="B452" s="26"/>
      <c r="C452" s="24"/>
      <c r="D452" s="26"/>
      <c r="E452" s="26"/>
      <c r="F452" s="26"/>
      <c r="G452" s="26"/>
      <c r="H452" s="24"/>
      <c r="I452" s="24"/>
      <c r="J452" s="24"/>
      <c r="K452" s="5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6"/>
      <c r="B453" s="26"/>
      <c r="C453" s="24"/>
      <c r="D453" s="26"/>
      <c r="E453" s="26"/>
      <c r="F453" s="26"/>
      <c r="G453" s="26"/>
      <c r="H453" s="24"/>
      <c r="I453" s="24"/>
      <c r="J453" s="24"/>
      <c r="K453" s="5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6"/>
      <c r="B454" s="26"/>
      <c r="C454" s="24"/>
      <c r="D454" s="26"/>
      <c r="E454" s="26"/>
      <c r="F454" s="26"/>
      <c r="G454" s="26"/>
      <c r="H454" s="24"/>
      <c r="I454" s="24"/>
      <c r="J454" s="24"/>
      <c r="K454" s="5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6"/>
      <c r="B455" s="26"/>
      <c r="C455" s="24"/>
      <c r="D455" s="26"/>
      <c r="E455" s="26"/>
      <c r="F455" s="26"/>
      <c r="G455" s="26"/>
      <c r="H455" s="24"/>
      <c r="I455" s="24"/>
      <c r="J455" s="24"/>
      <c r="K455" s="5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6"/>
      <c r="B456" s="26"/>
      <c r="C456" s="24"/>
      <c r="D456" s="26"/>
      <c r="E456" s="26"/>
      <c r="F456" s="26"/>
      <c r="G456" s="26"/>
      <c r="H456" s="24"/>
      <c r="I456" s="24"/>
      <c r="J456" s="24"/>
      <c r="K456" s="5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6"/>
      <c r="B457" s="26"/>
      <c r="C457" s="24"/>
      <c r="D457" s="26"/>
      <c r="E457" s="26"/>
      <c r="F457" s="26"/>
      <c r="G457" s="26"/>
      <c r="H457" s="24"/>
      <c r="I457" s="24"/>
      <c r="J457" s="24"/>
      <c r="K457" s="5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6"/>
      <c r="B458" s="26"/>
      <c r="C458" s="24"/>
      <c r="D458" s="26"/>
      <c r="E458" s="26"/>
      <c r="F458" s="26"/>
      <c r="G458" s="26"/>
      <c r="H458" s="24"/>
      <c r="I458" s="24"/>
      <c r="J458" s="24"/>
      <c r="K458" s="5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6"/>
      <c r="B459" s="26"/>
      <c r="C459" s="24"/>
      <c r="D459" s="26"/>
      <c r="E459" s="26"/>
      <c r="F459" s="26"/>
      <c r="G459" s="26"/>
      <c r="H459" s="24"/>
      <c r="I459" s="24"/>
      <c r="J459" s="24"/>
      <c r="K459" s="5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6"/>
      <c r="B460" s="26"/>
      <c r="C460" s="24"/>
      <c r="D460" s="26"/>
      <c r="E460" s="26"/>
      <c r="F460" s="26"/>
      <c r="G460" s="26"/>
      <c r="H460" s="24"/>
      <c r="I460" s="24"/>
      <c r="J460" s="24"/>
      <c r="K460" s="5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6"/>
      <c r="B461" s="26"/>
      <c r="C461" s="24"/>
      <c r="D461" s="26"/>
      <c r="E461" s="26"/>
      <c r="F461" s="26"/>
      <c r="G461" s="26"/>
      <c r="H461" s="24"/>
      <c r="I461" s="24"/>
      <c r="J461" s="24"/>
      <c r="K461" s="5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6"/>
      <c r="B462" s="26"/>
      <c r="C462" s="24"/>
      <c r="D462" s="26"/>
      <c r="E462" s="26"/>
      <c r="F462" s="26"/>
      <c r="G462" s="26"/>
      <c r="H462" s="24"/>
      <c r="I462" s="24"/>
      <c r="J462" s="24"/>
      <c r="K462" s="5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6"/>
      <c r="B463" s="26"/>
      <c r="C463" s="24"/>
      <c r="D463" s="26"/>
      <c r="E463" s="26"/>
      <c r="F463" s="26"/>
      <c r="G463" s="26"/>
      <c r="H463" s="24"/>
      <c r="I463" s="24"/>
      <c r="J463" s="24"/>
      <c r="K463" s="5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6"/>
      <c r="B464" s="26"/>
      <c r="C464" s="24"/>
      <c r="D464" s="26"/>
      <c r="E464" s="26"/>
      <c r="F464" s="26"/>
      <c r="G464" s="26"/>
      <c r="H464" s="24"/>
      <c r="I464" s="24"/>
      <c r="J464" s="24"/>
      <c r="K464" s="5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6"/>
      <c r="B465" s="26"/>
      <c r="C465" s="24"/>
      <c r="D465" s="26"/>
      <c r="E465" s="26"/>
      <c r="F465" s="26"/>
      <c r="G465" s="26"/>
      <c r="H465" s="24"/>
      <c r="I465" s="24"/>
      <c r="J465" s="24"/>
      <c r="K465" s="5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6"/>
      <c r="B466" s="26"/>
      <c r="C466" s="24"/>
      <c r="D466" s="26"/>
      <c r="E466" s="26"/>
      <c r="F466" s="26"/>
      <c r="G466" s="26"/>
      <c r="H466" s="24"/>
      <c r="I466" s="24"/>
      <c r="J466" s="24"/>
      <c r="K466" s="5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6"/>
      <c r="B467" s="26"/>
      <c r="C467" s="24"/>
      <c r="D467" s="26"/>
      <c r="E467" s="26"/>
      <c r="F467" s="26"/>
      <c r="G467" s="26"/>
      <c r="H467" s="24"/>
      <c r="I467" s="24"/>
      <c r="J467" s="24"/>
      <c r="K467" s="5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6"/>
      <c r="B468" s="26"/>
      <c r="C468" s="24"/>
      <c r="D468" s="26"/>
      <c r="E468" s="26"/>
      <c r="F468" s="26"/>
      <c r="G468" s="26"/>
      <c r="H468" s="24"/>
      <c r="I468" s="24"/>
      <c r="J468" s="24"/>
      <c r="K468" s="5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6"/>
      <c r="B469" s="26"/>
      <c r="C469" s="24"/>
      <c r="D469" s="26"/>
      <c r="E469" s="26"/>
      <c r="F469" s="26"/>
      <c r="G469" s="26"/>
      <c r="H469" s="24"/>
      <c r="I469" s="24"/>
      <c r="J469" s="24"/>
      <c r="K469" s="5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6"/>
      <c r="B470" s="26"/>
      <c r="C470" s="24"/>
      <c r="D470" s="26"/>
      <c r="E470" s="26"/>
      <c r="F470" s="26"/>
      <c r="G470" s="26"/>
      <c r="H470" s="24"/>
      <c r="I470" s="24"/>
      <c r="J470" s="24"/>
      <c r="K470" s="5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6"/>
      <c r="B471" s="26"/>
      <c r="C471" s="24"/>
      <c r="D471" s="26"/>
      <c r="E471" s="26"/>
      <c r="F471" s="26"/>
      <c r="G471" s="26"/>
      <c r="H471" s="24"/>
      <c r="I471" s="24"/>
      <c r="J471" s="24"/>
      <c r="K471" s="5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6"/>
      <c r="B472" s="26"/>
      <c r="C472" s="24"/>
      <c r="D472" s="26"/>
      <c r="E472" s="26"/>
      <c r="F472" s="26"/>
      <c r="G472" s="26"/>
      <c r="H472" s="24"/>
      <c r="I472" s="24"/>
      <c r="J472" s="24"/>
      <c r="K472" s="5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6"/>
      <c r="B473" s="26"/>
      <c r="C473" s="24"/>
      <c r="D473" s="26"/>
      <c r="E473" s="26"/>
      <c r="F473" s="26"/>
      <c r="G473" s="26"/>
      <c r="H473" s="24"/>
      <c r="I473" s="24"/>
      <c r="J473" s="24"/>
      <c r="K473" s="5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6"/>
      <c r="B474" s="26"/>
      <c r="C474" s="24"/>
      <c r="D474" s="26"/>
      <c r="E474" s="26"/>
      <c r="F474" s="26"/>
      <c r="G474" s="26"/>
      <c r="H474" s="24"/>
      <c r="I474" s="24"/>
      <c r="J474" s="24"/>
      <c r="K474" s="5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6"/>
      <c r="B475" s="26"/>
      <c r="C475" s="24"/>
      <c r="D475" s="26"/>
      <c r="E475" s="26"/>
      <c r="F475" s="26"/>
      <c r="G475" s="26"/>
      <c r="H475" s="24"/>
      <c r="I475" s="24"/>
      <c r="J475" s="24"/>
      <c r="K475" s="5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6"/>
      <c r="B476" s="26"/>
      <c r="C476" s="24"/>
      <c r="D476" s="26"/>
      <c r="E476" s="26"/>
      <c r="F476" s="26"/>
      <c r="G476" s="26"/>
      <c r="H476" s="24"/>
      <c r="I476" s="24"/>
      <c r="J476" s="24"/>
      <c r="K476" s="5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6"/>
      <c r="B477" s="26"/>
      <c r="C477" s="24"/>
      <c r="D477" s="26"/>
      <c r="E477" s="26"/>
      <c r="F477" s="26"/>
      <c r="G477" s="26"/>
      <c r="H477" s="24"/>
      <c r="I477" s="24"/>
      <c r="J477" s="24"/>
      <c r="K477" s="5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6"/>
      <c r="B478" s="26"/>
      <c r="C478" s="24"/>
      <c r="D478" s="26"/>
      <c r="E478" s="26"/>
      <c r="F478" s="26"/>
      <c r="G478" s="26"/>
      <c r="H478" s="24"/>
      <c r="I478" s="24"/>
      <c r="J478" s="24"/>
      <c r="K478" s="5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6"/>
      <c r="B479" s="26"/>
      <c r="C479" s="24"/>
      <c r="D479" s="26"/>
      <c r="E479" s="26"/>
      <c r="F479" s="26"/>
      <c r="G479" s="26"/>
      <c r="H479" s="24"/>
      <c r="I479" s="24"/>
      <c r="J479" s="24"/>
      <c r="K479" s="5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6"/>
      <c r="B480" s="26"/>
      <c r="C480" s="24"/>
      <c r="D480" s="26"/>
      <c r="E480" s="26"/>
      <c r="F480" s="26"/>
      <c r="G480" s="26"/>
      <c r="H480" s="24"/>
      <c r="I480" s="24"/>
      <c r="J480" s="24"/>
      <c r="K480" s="5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6"/>
      <c r="B481" s="26"/>
      <c r="C481" s="24"/>
      <c r="D481" s="26"/>
      <c r="E481" s="26"/>
      <c r="F481" s="26"/>
      <c r="G481" s="26"/>
      <c r="H481" s="24"/>
      <c r="I481" s="24"/>
      <c r="J481" s="24"/>
      <c r="K481" s="5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6"/>
      <c r="B482" s="26"/>
      <c r="C482" s="24"/>
      <c r="D482" s="26"/>
      <c r="E482" s="26"/>
      <c r="F482" s="26"/>
      <c r="G482" s="26"/>
      <c r="H482" s="24"/>
      <c r="I482" s="24"/>
      <c r="J482" s="24"/>
      <c r="K482" s="5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6"/>
      <c r="B483" s="26"/>
      <c r="C483" s="24"/>
      <c r="D483" s="26"/>
      <c r="E483" s="26"/>
      <c r="F483" s="26"/>
      <c r="G483" s="26"/>
      <c r="H483" s="24"/>
      <c r="I483" s="24"/>
      <c r="J483" s="24"/>
      <c r="K483" s="5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6"/>
      <c r="B484" s="26"/>
      <c r="C484" s="24"/>
      <c r="D484" s="26"/>
      <c r="E484" s="26"/>
      <c r="F484" s="26"/>
      <c r="G484" s="26"/>
      <c r="H484" s="24"/>
      <c r="I484" s="24"/>
      <c r="J484" s="24"/>
      <c r="K484" s="5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6"/>
      <c r="B485" s="26"/>
      <c r="C485" s="24"/>
      <c r="D485" s="26"/>
      <c r="E485" s="26"/>
      <c r="F485" s="26"/>
      <c r="G485" s="26"/>
      <c r="H485" s="24"/>
      <c r="I485" s="24"/>
      <c r="J485" s="24"/>
      <c r="K485" s="5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6"/>
      <c r="B486" s="26"/>
      <c r="C486" s="24"/>
      <c r="D486" s="26"/>
      <c r="E486" s="26"/>
      <c r="F486" s="26"/>
      <c r="G486" s="26"/>
      <c r="H486" s="24"/>
      <c r="I486" s="24"/>
      <c r="J486" s="24"/>
      <c r="K486" s="5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6"/>
      <c r="B487" s="26"/>
      <c r="C487" s="24"/>
      <c r="D487" s="26"/>
      <c r="E487" s="26"/>
      <c r="F487" s="26"/>
      <c r="G487" s="26"/>
      <c r="H487" s="24"/>
      <c r="I487" s="24"/>
      <c r="J487" s="24"/>
      <c r="K487" s="5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6"/>
      <c r="B488" s="26"/>
      <c r="C488" s="24"/>
      <c r="D488" s="26"/>
      <c r="E488" s="26"/>
      <c r="F488" s="26"/>
      <c r="G488" s="26"/>
      <c r="H488" s="24"/>
      <c r="I488" s="24"/>
      <c r="J488" s="24"/>
      <c r="K488" s="5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6"/>
      <c r="B489" s="26"/>
      <c r="C489" s="24"/>
      <c r="D489" s="26"/>
      <c r="E489" s="26"/>
      <c r="F489" s="26"/>
      <c r="G489" s="26"/>
      <c r="H489" s="24"/>
      <c r="I489" s="24"/>
      <c r="J489" s="24"/>
      <c r="K489" s="5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6"/>
      <c r="B490" s="26"/>
      <c r="C490" s="24"/>
      <c r="D490" s="26"/>
      <c r="E490" s="26"/>
      <c r="F490" s="26"/>
      <c r="G490" s="26"/>
      <c r="H490" s="24"/>
      <c r="I490" s="24"/>
      <c r="J490" s="24"/>
      <c r="K490" s="5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6"/>
      <c r="B491" s="26"/>
      <c r="C491" s="24"/>
      <c r="D491" s="26"/>
      <c r="E491" s="26"/>
      <c r="F491" s="26"/>
      <c r="G491" s="26"/>
      <c r="H491" s="24"/>
      <c r="I491" s="24"/>
      <c r="J491" s="24"/>
      <c r="K491" s="5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6"/>
      <c r="B492" s="26"/>
      <c r="C492" s="24"/>
      <c r="D492" s="26"/>
      <c r="E492" s="26"/>
      <c r="F492" s="26"/>
      <c r="G492" s="26"/>
      <c r="H492" s="24"/>
      <c r="I492" s="24"/>
      <c r="J492" s="24"/>
      <c r="K492" s="5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6"/>
      <c r="B493" s="26"/>
      <c r="C493" s="24"/>
      <c r="D493" s="26"/>
      <c r="E493" s="26"/>
      <c r="F493" s="26"/>
      <c r="G493" s="26"/>
      <c r="H493" s="24"/>
      <c r="I493" s="24"/>
      <c r="J493" s="24"/>
      <c r="K493" s="5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6"/>
      <c r="B494" s="26"/>
      <c r="C494" s="24"/>
      <c r="D494" s="26"/>
      <c r="E494" s="26"/>
      <c r="F494" s="26"/>
      <c r="G494" s="26"/>
      <c r="H494" s="24"/>
      <c r="I494" s="24"/>
      <c r="J494" s="24"/>
      <c r="K494" s="5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6"/>
      <c r="B495" s="26"/>
      <c r="C495" s="24"/>
      <c r="D495" s="26"/>
      <c r="E495" s="26"/>
      <c r="F495" s="26"/>
      <c r="G495" s="26"/>
      <c r="H495" s="24"/>
      <c r="I495" s="24"/>
      <c r="J495" s="24"/>
      <c r="K495" s="5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6"/>
      <c r="B496" s="26"/>
      <c r="C496" s="24"/>
      <c r="D496" s="26"/>
      <c r="E496" s="26"/>
      <c r="F496" s="26"/>
      <c r="G496" s="26"/>
      <c r="H496" s="24"/>
      <c r="I496" s="24"/>
      <c r="J496" s="24"/>
      <c r="K496" s="5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6"/>
      <c r="B497" s="26"/>
      <c r="C497" s="24"/>
      <c r="D497" s="26"/>
      <c r="E497" s="26"/>
      <c r="F497" s="26"/>
      <c r="G497" s="26"/>
      <c r="H497" s="24"/>
      <c r="I497" s="24"/>
      <c r="J497" s="24"/>
      <c r="K497" s="5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6"/>
      <c r="B498" s="26"/>
      <c r="C498" s="24"/>
      <c r="D498" s="26"/>
      <c r="E498" s="26"/>
      <c r="F498" s="26"/>
      <c r="G498" s="26"/>
      <c r="H498" s="24"/>
      <c r="I498" s="24"/>
      <c r="J498" s="24"/>
      <c r="K498" s="5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6"/>
      <c r="B499" s="26"/>
      <c r="C499" s="24"/>
      <c r="D499" s="26"/>
      <c r="E499" s="26"/>
      <c r="F499" s="26"/>
      <c r="G499" s="26"/>
      <c r="H499" s="24"/>
      <c r="I499" s="24"/>
      <c r="J499" s="24"/>
      <c r="K499" s="5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6"/>
      <c r="B500" s="26"/>
      <c r="C500" s="24"/>
      <c r="D500" s="26"/>
      <c r="E500" s="26"/>
      <c r="F500" s="26"/>
      <c r="G500" s="26"/>
      <c r="H500" s="24"/>
      <c r="I500" s="24"/>
      <c r="J500" s="24"/>
      <c r="K500" s="5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6"/>
      <c r="B501" s="26"/>
      <c r="C501" s="24"/>
      <c r="D501" s="26"/>
      <c r="E501" s="26"/>
      <c r="F501" s="26"/>
      <c r="G501" s="26"/>
      <c r="H501" s="24"/>
      <c r="I501" s="24"/>
      <c r="J501" s="24"/>
      <c r="K501" s="5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6"/>
      <c r="B502" s="26"/>
      <c r="C502" s="24"/>
      <c r="D502" s="26"/>
      <c r="E502" s="26"/>
      <c r="F502" s="26"/>
      <c r="G502" s="26"/>
      <c r="H502" s="24"/>
      <c r="I502" s="24"/>
      <c r="J502" s="24"/>
      <c r="K502" s="5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6"/>
      <c r="B503" s="26"/>
      <c r="C503" s="24"/>
      <c r="D503" s="26"/>
      <c r="E503" s="26"/>
      <c r="F503" s="26"/>
      <c r="G503" s="26"/>
      <c r="H503" s="24"/>
      <c r="I503" s="24"/>
      <c r="J503" s="24"/>
      <c r="K503" s="5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6"/>
      <c r="B504" s="26"/>
      <c r="C504" s="24"/>
      <c r="D504" s="26"/>
      <c r="E504" s="26"/>
      <c r="F504" s="26"/>
      <c r="G504" s="26"/>
      <c r="H504" s="24"/>
      <c r="I504" s="24"/>
      <c r="J504" s="24"/>
      <c r="K504" s="5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6"/>
      <c r="B505" s="26"/>
      <c r="C505" s="24"/>
      <c r="D505" s="26"/>
      <c r="E505" s="26"/>
      <c r="F505" s="26"/>
      <c r="G505" s="26"/>
      <c r="H505" s="24"/>
      <c r="I505" s="24"/>
      <c r="J505" s="24"/>
      <c r="K505" s="5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6"/>
      <c r="B506" s="26"/>
      <c r="C506" s="24"/>
      <c r="D506" s="26"/>
      <c r="E506" s="26"/>
      <c r="F506" s="26"/>
      <c r="G506" s="26"/>
      <c r="H506" s="24"/>
      <c r="I506" s="24"/>
      <c r="J506" s="24"/>
      <c r="K506" s="5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6"/>
      <c r="B507" s="26"/>
      <c r="C507" s="24"/>
      <c r="D507" s="26"/>
      <c r="E507" s="26"/>
      <c r="F507" s="26"/>
      <c r="G507" s="26"/>
      <c r="H507" s="24"/>
      <c r="I507" s="24"/>
      <c r="J507" s="24"/>
      <c r="K507" s="5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6"/>
      <c r="B508" s="26"/>
      <c r="C508" s="24"/>
      <c r="D508" s="26"/>
      <c r="E508" s="26"/>
      <c r="F508" s="26"/>
      <c r="G508" s="26"/>
      <c r="H508" s="24"/>
      <c r="I508" s="24"/>
      <c r="J508" s="24"/>
      <c r="K508" s="5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6"/>
      <c r="B509" s="26"/>
      <c r="C509" s="24"/>
      <c r="D509" s="26"/>
      <c r="E509" s="26"/>
      <c r="F509" s="26"/>
      <c r="G509" s="26"/>
      <c r="H509" s="24"/>
      <c r="I509" s="24"/>
      <c r="J509" s="24"/>
      <c r="K509" s="5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6"/>
      <c r="B510" s="26"/>
      <c r="C510" s="24"/>
      <c r="D510" s="26"/>
      <c r="E510" s="26"/>
      <c r="F510" s="26"/>
      <c r="G510" s="26"/>
      <c r="H510" s="24"/>
      <c r="I510" s="24"/>
      <c r="J510" s="24"/>
      <c r="K510" s="5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6"/>
      <c r="B511" s="26"/>
      <c r="C511" s="24"/>
      <c r="D511" s="26"/>
      <c r="E511" s="26"/>
      <c r="F511" s="26"/>
      <c r="G511" s="26"/>
      <c r="H511" s="24"/>
      <c r="I511" s="24"/>
      <c r="J511" s="24"/>
      <c r="K511" s="5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6"/>
      <c r="B512" s="26"/>
      <c r="C512" s="24"/>
      <c r="D512" s="26"/>
      <c r="E512" s="26"/>
      <c r="F512" s="26"/>
      <c r="G512" s="26"/>
      <c r="H512" s="24"/>
      <c r="I512" s="24"/>
      <c r="J512" s="24"/>
      <c r="K512" s="5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6"/>
      <c r="B513" s="26"/>
      <c r="C513" s="24"/>
      <c r="D513" s="26"/>
      <c r="E513" s="26"/>
      <c r="F513" s="26"/>
      <c r="G513" s="26"/>
      <c r="H513" s="24"/>
      <c r="I513" s="24"/>
      <c r="J513" s="24"/>
      <c r="K513" s="5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6"/>
      <c r="B514" s="26"/>
      <c r="C514" s="24"/>
      <c r="D514" s="26"/>
      <c r="E514" s="26"/>
      <c r="F514" s="26"/>
      <c r="G514" s="26"/>
      <c r="H514" s="24"/>
      <c r="I514" s="24"/>
      <c r="J514" s="24"/>
      <c r="K514" s="5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6"/>
      <c r="B515" s="26"/>
      <c r="C515" s="24"/>
      <c r="D515" s="26"/>
      <c r="E515" s="26"/>
      <c r="F515" s="26"/>
      <c r="G515" s="26"/>
      <c r="H515" s="24"/>
      <c r="I515" s="24"/>
      <c r="J515" s="24"/>
      <c r="K515" s="5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6"/>
      <c r="B516" s="26"/>
      <c r="C516" s="24"/>
      <c r="D516" s="26"/>
      <c r="E516" s="26"/>
      <c r="F516" s="26"/>
      <c r="G516" s="26"/>
      <c r="H516" s="24"/>
      <c r="I516" s="24"/>
      <c r="J516" s="24"/>
      <c r="K516" s="5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6"/>
      <c r="B517" s="26"/>
      <c r="C517" s="24"/>
      <c r="D517" s="26"/>
      <c r="E517" s="26"/>
      <c r="F517" s="26"/>
      <c r="G517" s="26"/>
      <c r="H517" s="24"/>
      <c r="I517" s="24"/>
      <c r="J517" s="24"/>
      <c r="K517" s="5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6"/>
      <c r="B518" s="26"/>
      <c r="C518" s="24"/>
      <c r="D518" s="26"/>
      <c r="E518" s="26"/>
      <c r="F518" s="26"/>
      <c r="G518" s="26"/>
      <c r="H518" s="24"/>
      <c r="I518" s="24"/>
      <c r="J518" s="24"/>
      <c r="K518" s="5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6"/>
      <c r="B519" s="26"/>
      <c r="C519" s="24"/>
      <c r="D519" s="26"/>
      <c r="E519" s="26"/>
      <c r="F519" s="26"/>
      <c r="G519" s="26"/>
      <c r="H519" s="24"/>
      <c r="I519" s="24"/>
      <c r="J519" s="24"/>
      <c r="K519" s="5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6"/>
      <c r="B520" s="26"/>
      <c r="C520" s="24"/>
      <c r="D520" s="26"/>
      <c r="E520" s="26"/>
      <c r="F520" s="26"/>
      <c r="G520" s="26"/>
      <c r="H520" s="24"/>
      <c r="I520" s="24"/>
      <c r="J520" s="24"/>
      <c r="K520" s="5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6"/>
      <c r="B521" s="26"/>
      <c r="C521" s="24"/>
      <c r="D521" s="26"/>
      <c r="E521" s="26"/>
      <c r="F521" s="26"/>
      <c r="G521" s="26"/>
      <c r="H521" s="24"/>
      <c r="I521" s="24"/>
      <c r="J521" s="24"/>
      <c r="K521" s="5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6"/>
      <c r="B522" s="26"/>
      <c r="C522" s="24"/>
      <c r="D522" s="26"/>
      <c r="E522" s="26"/>
      <c r="F522" s="26"/>
      <c r="G522" s="26"/>
      <c r="H522" s="24"/>
      <c r="I522" s="24"/>
      <c r="J522" s="24"/>
      <c r="K522" s="5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6"/>
      <c r="B523" s="26"/>
      <c r="C523" s="24"/>
      <c r="D523" s="26"/>
      <c r="E523" s="26"/>
      <c r="F523" s="26"/>
      <c r="G523" s="26"/>
      <c r="H523" s="24"/>
      <c r="I523" s="24"/>
      <c r="J523" s="24"/>
      <c r="K523" s="5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6"/>
      <c r="B524" s="26"/>
      <c r="C524" s="24"/>
      <c r="D524" s="26"/>
      <c r="E524" s="26"/>
      <c r="F524" s="26"/>
      <c r="G524" s="26"/>
      <c r="H524" s="24"/>
      <c r="I524" s="24"/>
      <c r="J524" s="24"/>
      <c r="K524" s="5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6"/>
      <c r="B525" s="26"/>
      <c r="C525" s="24"/>
      <c r="D525" s="26"/>
      <c r="E525" s="26"/>
      <c r="F525" s="26"/>
      <c r="G525" s="26"/>
      <c r="H525" s="24"/>
      <c r="I525" s="24"/>
      <c r="J525" s="24"/>
      <c r="K525" s="5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6"/>
      <c r="B526" s="26"/>
      <c r="C526" s="24"/>
      <c r="D526" s="26"/>
      <c r="E526" s="26"/>
      <c r="F526" s="26"/>
      <c r="G526" s="26"/>
      <c r="H526" s="24"/>
      <c r="I526" s="24"/>
      <c r="J526" s="24"/>
      <c r="K526" s="5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6"/>
      <c r="B527" s="26"/>
      <c r="C527" s="24"/>
      <c r="D527" s="26"/>
      <c r="E527" s="26"/>
      <c r="F527" s="26"/>
      <c r="G527" s="26"/>
      <c r="H527" s="24"/>
      <c r="I527" s="24"/>
      <c r="J527" s="24"/>
      <c r="K527" s="5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6"/>
      <c r="B528" s="26"/>
      <c r="C528" s="24"/>
      <c r="D528" s="26"/>
      <c r="E528" s="26"/>
      <c r="F528" s="26"/>
      <c r="G528" s="26"/>
      <c r="H528" s="24"/>
      <c r="I528" s="24"/>
      <c r="J528" s="24"/>
      <c r="K528" s="5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6"/>
      <c r="B529" s="26"/>
      <c r="C529" s="24"/>
      <c r="D529" s="26"/>
      <c r="E529" s="26"/>
      <c r="F529" s="26"/>
      <c r="G529" s="26"/>
      <c r="H529" s="24"/>
      <c r="I529" s="24"/>
      <c r="J529" s="24"/>
      <c r="K529" s="5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6"/>
      <c r="B530" s="26"/>
      <c r="C530" s="24"/>
      <c r="D530" s="26"/>
      <c r="E530" s="26"/>
      <c r="F530" s="26"/>
      <c r="G530" s="26"/>
      <c r="H530" s="24"/>
      <c r="I530" s="24"/>
      <c r="J530" s="24"/>
      <c r="K530" s="5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6"/>
      <c r="B531" s="26"/>
      <c r="C531" s="24"/>
      <c r="D531" s="26"/>
      <c r="E531" s="26"/>
      <c r="F531" s="26"/>
      <c r="G531" s="26"/>
      <c r="H531" s="24"/>
      <c r="I531" s="24"/>
      <c r="J531" s="24"/>
      <c r="K531" s="5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6"/>
      <c r="B532" s="26"/>
      <c r="C532" s="24"/>
      <c r="D532" s="26"/>
      <c r="E532" s="26"/>
      <c r="F532" s="26"/>
      <c r="G532" s="26"/>
      <c r="H532" s="24"/>
      <c r="I532" s="24"/>
      <c r="J532" s="24"/>
      <c r="K532" s="5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6"/>
      <c r="B533" s="26"/>
      <c r="C533" s="24"/>
      <c r="D533" s="26"/>
      <c r="E533" s="26"/>
      <c r="F533" s="26"/>
      <c r="G533" s="26"/>
      <c r="H533" s="24"/>
      <c r="I533" s="24"/>
      <c r="J533" s="24"/>
      <c r="K533" s="5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6"/>
      <c r="B534" s="26"/>
      <c r="C534" s="24"/>
      <c r="D534" s="26"/>
      <c r="E534" s="26"/>
      <c r="F534" s="26"/>
      <c r="G534" s="26"/>
      <c r="H534" s="24"/>
      <c r="I534" s="24"/>
      <c r="J534" s="24"/>
      <c r="K534" s="5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6"/>
      <c r="B535" s="26"/>
      <c r="C535" s="24"/>
      <c r="D535" s="26"/>
      <c r="E535" s="26"/>
      <c r="F535" s="26"/>
      <c r="G535" s="26"/>
      <c r="H535" s="24"/>
      <c r="I535" s="24"/>
      <c r="J535" s="24"/>
      <c r="K535" s="5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6"/>
      <c r="B536" s="26"/>
      <c r="C536" s="24"/>
      <c r="D536" s="26"/>
      <c r="E536" s="26"/>
      <c r="F536" s="26"/>
      <c r="G536" s="26"/>
      <c r="H536" s="24"/>
      <c r="I536" s="24"/>
      <c r="J536" s="24"/>
      <c r="K536" s="5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6"/>
      <c r="B537" s="26"/>
      <c r="C537" s="24"/>
      <c r="D537" s="26"/>
      <c r="E537" s="26"/>
      <c r="F537" s="26"/>
      <c r="G537" s="26"/>
      <c r="H537" s="24"/>
      <c r="I537" s="24"/>
      <c r="J537" s="24"/>
      <c r="K537" s="5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6"/>
      <c r="B538" s="26"/>
      <c r="C538" s="24"/>
      <c r="D538" s="26"/>
      <c r="E538" s="26"/>
      <c r="F538" s="26"/>
      <c r="G538" s="26"/>
      <c r="H538" s="24"/>
      <c r="I538" s="24"/>
      <c r="J538" s="24"/>
      <c r="K538" s="5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6"/>
      <c r="B539" s="26"/>
      <c r="C539" s="24"/>
      <c r="D539" s="26"/>
      <c r="E539" s="26"/>
      <c r="F539" s="26"/>
      <c r="G539" s="26"/>
      <c r="H539" s="24"/>
      <c r="I539" s="24"/>
      <c r="J539" s="24"/>
      <c r="K539" s="5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6"/>
      <c r="B540" s="26"/>
      <c r="C540" s="24"/>
      <c r="D540" s="26"/>
      <c r="E540" s="26"/>
      <c r="F540" s="26"/>
      <c r="G540" s="26"/>
      <c r="H540" s="24"/>
      <c r="I540" s="24"/>
      <c r="J540" s="24"/>
      <c r="K540" s="5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6"/>
      <c r="B541" s="26"/>
      <c r="C541" s="24"/>
      <c r="D541" s="26"/>
      <c r="E541" s="26"/>
      <c r="F541" s="26"/>
      <c r="G541" s="26"/>
      <c r="H541" s="24"/>
      <c r="I541" s="24"/>
      <c r="J541" s="24"/>
      <c r="K541" s="5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6"/>
      <c r="B542" s="26"/>
      <c r="C542" s="24"/>
      <c r="D542" s="26"/>
      <c r="E542" s="26"/>
      <c r="F542" s="26"/>
      <c r="G542" s="26"/>
      <c r="H542" s="24"/>
      <c r="I542" s="24"/>
      <c r="J542" s="24"/>
      <c r="K542" s="5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6"/>
      <c r="B543" s="26"/>
      <c r="C543" s="24"/>
      <c r="D543" s="26"/>
      <c r="E543" s="26"/>
      <c r="F543" s="26"/>
      <c r="G543" s="26"/>
      <c r="H543" s="24"/>
      <c r="I543" s="24"/>
      <c r="J543" s="24"/>
      <c r="K543" s="5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6"/>
      <c r="B544" s="26"/>
      <c r="C544" s="24"/>
      <c r="D544" s="26"/>
      <c r="E544" s="26"/>
      <c r="F544" s="26"/>
      <c r="G544" s="26"/>
      <c r="H544" s="24"/>
      <c r="I544" s="24"/>
      <c r="J544" s="24"/>
      <c r="K544" s="5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6"/>
      <c r="B545" s="26"/>
      <c r="C545" s="24"/>
      <c r="D545" s="26"/>
      <c r="E545" s="26"/>
      <c r="F545" s="26"/>
      <c r="G545" s="26"/>
      <c r="H545" s="24"/>
      <c r="I545" s="24"/>
      <c r="J545" s="24"/>
      <c r="K545" s="5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6"/>
      <c r="B546" s="26"/>
      <c r="C546" s="24"/>
      <c r="D546" s="26"/>
      <c r="E546" s="26"/>
      <c r="F546" s="26"/>
      <c r="G546" s="26"/>
      <c r="H546" s="24"/>
      <c r="I546" s="24"/>
      <c r="J546" s="24"/>
      <c r="K546" s="5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6"/>
      <c r="B547" s="26"/>
      <c r="C547" s="24"/>
      <c r="D547" s="26"/>
      <c r="E547" s="26"/>
      <c r="F547" s="26"/>
      <c r="G547" s="26"/>
      <c r="H547" s="24"/>
      <c r="I547" s="24"/>
      <c r="J547" s="24"/>
      <c r="K547" s="5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6"/>
      <c r="B548" s="26"/>
      <c r="C548" s="24"/>
      <c r="D548" s="26"/>
      <c r="E548" s="26"/>
      <c r="F548" s="26"/>
      <c r="G548" s="26"/>
      <c r="H548" s="24"/>
      <c r="I548" s="24"/>
      <c r="J548" s="24"/>
      <c r="K548" s="5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6"/>
      <c r="B549" s="26"/>
      <c r="C549" s="24"/>
      <c r="D549" s="26"/>
      <c r="E549" s="26"/>
      <c r="F549" s="26"/>
      <c r="G549" s="26"/>
      <c r="H549" s="24"/>
      <c r="I549" s="24"/>
      <c r="J549" s="24"/>
      <c r="K549" s="5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6"/>
      <c r="B550" s="26"/>
      <c r="C550" s="24"/>
      <c r="D550" s="26"/>
      <c r="E550" s="26"/>
      <c r="F550" s="26"/>
      <c r="G550" s="26"/>
      <c r="H550" s="24"/>
      <c r="I550" s="24"/>
      <c r="J550" s="24"/>
      <c r="K550" s="5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6"/>
      <c r="B551" s="26"/>
      <c r="C551" s="24"/>
      <c r="D551" s="26"/>
      <c r="E551" s="26"/>
      <c r="F551" s="26"/>
      <c r="G551" s="26"/>
      <c r="H551" s="24"/>
      <c r="I551" s="24"/>
      <c r="J551" s="24"/>
      <c r="K551" s="5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6"/>
      <c r="B552" s="26"/>
      <c r="C552" s="24"/>
      <c r="D552" s="26"/>
      <c r="E552" s="26"/>
      <c r="F552" s="26"/>
      <c r="G552" s="26"/>
      <c r="H552" s="24"/>
      <c r="I552" s="24"/>
      <c r="J552" s="24"/>
      <c r="K552" s="5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6"/>
      <c r="B553" s="26"/>
      <c r="C553" s="24"/>
      <c r="D553" s="26"/>
      <c r="E553" s="26"/>
      <c r="F553" s="26"/>
      <c r="G553" s="26"/>
      <c r="H553" s="24"/>
      <c r="I553" s="24"/>
      <c r="J553" s="24"/>
      <c r="K553" s="5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6"/>
      <c r="B554" s="26"/>
      <c r="C554" s="24"/>
      <c r="D554" s="26"/>
      <c r="E554" s="26"/>
      <c r="F554" s="26"/>
      <c r="G554" s="26"/>
      <c r="H554" s="24"/>
      <c r="I554" s="24"/>
      <c r="J554" s="24"/>
      <c r="K554" s="5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6"/>
      <c r="B555" s="26"/>
      <c r="C555" s="24"/>
      <c r="D555" s="26"/>
      <c r="E555" s="26"/>
      <c r="F555" s="26"/>
      <c r="G555" s="26"/>
      <c r="H555" s="24"/>
      <c r="I555" s="24"/>
      <c r="J555" s="24"/>
      <c r="K555" s="5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6"/>
      <c r="B556" s="26"/>
      <c r="C556" s="24"/>
      <c r="D556" s="26"/>
      <c r="E556" s="26"/>
      <c r="F556" s="26"/>
      <c r="G556" s="26"/>
      <c r="H556" s="24"/>
      <c r="I556" s="24"/>
      <c r="J556" s="24"/>
      <c r="K556" s="5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6"/>
      <c r="B557" s="26"/>
      <c r="C557" s="24"/>
      <c r="D557" s="26"/>
      <c r="E557" s="26"/>
      <c r="F557" s="26"/>
      <c r="G557" s="26"/>
      <c r="H557" s="24"/>
      <c r="I557" s="24"/>
      <c r="J557" s="24"/>
      <c r="K557" s="5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6"/>
      <c r="B558" s="26"/>
      <c r="C558" s="24"/>
      <c r="D558" s="26"/>
      <c r="E558" s="26"/>
      <c r="F558" s="26"/>
      <c r="G558" s="26"/>
      <c r="H558" s="24"/>
      <c r="I558" s="24"/>
      <c r="J558" s="24"/>
      <c r="K558" s="5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6"/>
      <c r="B559" s="26"/>
      <c r="C559" s="24"/>
      <c r="D559" s="26"/>
      <c r="E559" s="26"/>
      <c r="F559" s="26"/>
      <c r="G559" s="26"/>
      <c r="H559" s="24"/>
      <c r="I559" s="24"/>
      <c r="J559" s="24"/>
      <c r="K559" s="5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6"/>
      <c r="B560" s="26"/>
      <c r="C560" s="24"/>
      <c r="D560" s="26"/>
      <c r="E560" s="26"/>
      <c r="F560" s="26"/>
      <c r="G560" s="26"/>
      <c r="H560" s="24"/>
      <c r="I560" s="24"/>
      <c r="J560" s="24"/>
      <c r="K560" s="5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6"/>
      <c r="B561" s="26"/>
      <c r="C561" s="24"/>
      <c r="D561" s="26"/>
      <c r="E561" s="26"/>
      <c r="F561" s="26"/>
      <c r="G561" s="26"/>
      <c r="H561" s="24"/>
      <c r="I561" s="24"/>
      <c r="J561" s="24"/>
      <c r="K561" s="5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6"/>
      <c r="B562" s="26"/>
      <c r="C562" s="24"/>
      <c r="D562" s="26"/>
      <c r="E562" s="26"/>
      <c r="F562" s="26"/>
      <c r="G562" s="26"/>
      <c r="H562" s="24"/>
      <c r="I562" s="24"/>
      <c r="J562" s="24"/>
      <c r="K562" s="5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6"/>
      <c r="B563" s="26"/>
      <c r="C563" s="24"/>
      <c r="D563" s="26"/>
      <c r="E563" s="26"/>
      <c r="F563" s="26"/>
      <c r="G563" s="26"/>
      <c r="H563" s="24"/>
      <c r="I563" s="24"/>
      <c r="J563" s="24"/>
      <c r="K563" s="5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6"/>
      <c r="B564" s="26"/>
      <c r="C564" s="24"/>
      <c r="D564" s="26"/>
      <c r="E564" s="26"/>
      <c r="F564" s="26"/>
      <c r="G564" s="26"/>
      <c r="H564" s="24"/>
      <c r="I564" s="24"/>
      <c r="J564" s="24"/>
      <c r="K564" s="5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6"/>
      <c r="B565" s="26"/>
      <c r="C565" s="24"/>
      <c r="D565" s="26"/>
      <c r="E565" s="26"/>
      <c r="F565" s="26"/>
      <c r="G565" s="26"/>
      <c r="H565" s="24"/>
      <c r="I565" s="24"/>
      <c r="J565" s="24"/>
      <c r="K565" s="5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6"/>
      <c r="B566" s="26"/>
      <c r="C566" s="24"/>
      <c r="D566" s="26"/>
      <c r="E566" s="26"/>
      <c r="F566" s="26"/>
      <c r="G566" s="26"/>
      <c r="H566" s="24"/>
      <c r="I566" s="24"/>
      <c r="J566" s="24"/>
      <c r="K566" s="5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6"/>
      <c r="B567" s="26"/>
      <c r="C567" s="24"/>
      <c r="D567" s="26"/>
      <c r="E567" s="26"/>
      <c r="F567" s="26"/>
      <c r="G567" s="26"/>
      <c r="H567" s="24"/>
      <c r="I567" s="24"/>
      <c r="J567" s="24"/>
      <c r="K567" s="5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6"/>
      <c r="B568" s="26"/>
      <c r="C568" s="24"/>
      <c r="D568" s="26"/>
      <c r="E568" s="26"/>
      <c r="F568" s="26"/>
      <c r="G568" s="26"/>
      <c r="H568" s="24"/>
      <c r="I568" s="24"/>
      <c r="J568" s="24"/>
      <c r="K568" s="5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6"/>
      <c r="B569" s="26"/>
      <c r="C569" s="24"/>
      <c r="D569" s="26"/>
      <c r="E569" s="26"/>
      <c r="F569" s="26"/>
      <c r="G569" s="26"/>
      <c r="H569" s="24"/>
      <c r="I569" s="24"/>
      <c r="J569" s="24"/>
      <c r="K569" s="5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6"/>
      <c r="B570" s="26"/>
      <c r="C570" s="24"/>
      <c r="D570" s="26"/>
      <c r="E570" s="26"/>
      <c r="F570" s="26"/>
      <c r="G570" s="26"/>
      <c r="H570" s="24"/>
      <c r="I570" s="24"/>
      <c r="J570" s="24"/>
      <c r="K570" s="5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6"/>
      <c r="B571" s="26"/>
      <c r="C571" s="24"/>
      <c r="D571" s="26"/>
      <c r="E571" s="26"/>
      <c r="F571" s="26"/>
      <c r="G571" s="26"/>
      <c r="H571" s="24"/>
      <c r="I571" s="24"/>
      <c r="J571" s="24"/>
      <c r="K571" s="5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6"/>
      <c r="B572" s="26"/>
      <c r="C572" s="24"/>
      <c r="D572" s="26"/>
      <c r="E572" s="26"/>
      <c r="F572" s="26"/>
      <c r="G572" s="26"/>
      <c r="H572" s="24"/>
      <c r="I572" s="24"/>
      <c r="J572" s="24"/>
      <c r="K572" s="5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6"/>
      <c r="B573" s="26"/>
      <c r="C573" s="24"/>
      <c r="D573" s="26"/>
      <c r="E573" s="26"/>
      <c r="F573" s="26"/>
      <c r="G573" s="26"/>
      <c r="H573" s="24"/>
      <c r="I573" s="24"/>
      <c r="J573" s="24"/>
      <c r="K573" s="5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6"/>
      <c r="B574" s="26"/>
      <c r="C574" s="24"/>
      <c r="D574" s="26"/>
      <c r="E574" s="26"/>
      <c r="F574" s="26"/>
      <c r="G574" s="26"/>
      <c r="H574" s="24"/>
      <c r="I574" s="24"/>
      <c r="J574" s="24"/>
      <c r="K574" s="5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6"/>
      <c r="B575" s="26"/>
      <c r="C575" s="24"/>
      <c r="D575" s="26"/>
      <c r="E575" s="26"/>
      <c r="F575" s="26"/>
      <c r="G575" s="26"/>
      <c r="H575" s="24"/>
      <c r="I575" s="24"/>
      <c r="J575" s="24"/>
      <c r="K575" s="5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6"/>
      <c r="B576" s="26"/>
      <c r="C576" s="24"/>
      <c r="D576" s="26"/>
      <c r="E576" s="26"/>
      <c r="F576" s="26"/>
      <c r="G576" s="26"/>
      <c r="H576" s="24"/>
      <c r="I576" s="24"/>
      <c r="J576" s="24"/>
      <c r="K576" s="5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6"/>
      <c r="B577" s="26"/>
      <c r="C577" s="24"/>
      <c r="D577" s="26"/>
      <c r="E577" s="26"/>
      <c r="F577" s="26"/>
      <c r="G577" s="26"/>
      <c r="H577" s="24"/>
      <c r="I577" s="24"/>
      <c r="J577" s="24"/>
      <c r="K577" s="5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6"/>
      <c r="B578" s="26"/>
      <c r="C578" s="24"/>
      <c r="D578" s="26"/>
      <c r="E578" s="26"/>
      <c r="F578" s="26"/>
      <c r="G578" s="26"/>
      <c r="H578" s="24"/>
      <c r="I578" s="24"/>
      <c r="J578" s="24"/>
      <c r="K578" s="5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6"/>
      <c r="B579" s="26"/>
      <c r="C579" s="24"/>
      <c r="D579" s="26"/>
      <c r="E579" s="26"/>
      <c r="F579" s="26"/>
      <c r="G579" s="26"/>
      <c r="H579" s="24"/>
      <c r="I579" s="24"/>
      <c r="J579" s="24"/>
      <c r="K579" s="5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6"/>
      <c r="B580" s="26"/>
      <c r="C580" s="24"/>
      <c r="D580" s="26"/>
      <c r="E580" s="26"/>
      <c r="F580" s="26"/>
      <c r="G580" s="26"/>
      <c r="H580" s="24"/>
      <c r="I580" s="24"/>
      <c r="J580" s="24"/>
      <c r="K580" s="5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6"/>
      <c r="B581" s="26"/>
      <c r="C581" s="24"/>
      <c r="D581" s="26"/>
      <c r="E581" s="26"/>
      <c r="F581" s="26"/>
      <c r="G581" s="26"/>
      <c r="H581" s="24"/>
      <c r="I581" s="24"/>
      <c r="J581" s="24"/>
      <c r="K581" s="5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6"/>
      <c r="B582" s="26"/>
      <c r="C582" s="24"/>
      <c r="D582" s="26"/>
      <c r="E582" s="26"/>
      <c r="F582" s="26"/>
      <c r="G582" s="26"/>
      <c r="H582" s="24"/>
      <c r="I582" s="24"/>
      <c r="J582" s="24"/>
      <c r="K582" s="5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6"/>
      <c r="B583" s="26"/>
      <c r="C583" s="24"/>
      <c r="D583" s="26"/>
      <c r="E583" s="26"/>
      <c r="F583" s="26"/>
      <c r="G583" s="26"/>
      <c r="H583" s="24"/>
      <c r="I583" s="24"/>
      <c r="J583" s="24"/>
      <c r="K583" s="5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6"/>
      <c r="B584" s="26"/>
      <c r="C584" s="24"/>
      <c r="D584" s="26"/>
      <c r="E584" s="26"/>
      <c r="F584" s="26"/>
      <c r="G584" s="26"/>
      <c r="H584" s="24"/>
      <c r="I584" s="24"/>
      <c r="J584" s="24"/>
      <c r="K584" s="5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6"/>
      <c r="B585" s="26"/>
      <c r="C585" s="24"/>
      <c r="D585" s="26"/>
      <c r="E585" s="26"/>
      <c r="F585" s="26"/>
      <c r="G585" s="26"/>
      <c r="H585" s="24"/>
      <c r="I585" s="24"/>
      <c r="J585" s="24"/>
      <c r="K585" s="5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6"/>
      <c r="B586" s="26"/>
      <c r="C586" s="24"/>
      <c r="D586" s="26"/>
      <c r="E586" s="26"/>
      <c r="F586" s="26"/>
      <c r="G586" s="26"/>
      <c r="H586" s="24"/>
      <c r="I586" s="24"/>
      <c r="J586" s="24"/>
      <c r="K586" s="5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6"/>
      <c r="B587" s="26"/>
      <c r="C587" s="24"/>
      <c r="D587" s="26"/>
      <c r="E587" s="26"/>
      <c r="F587" s="26"/>
      <c r="G587" s="26"/>
      <c r="H587" s="24"/>
      <c r="I587" s="24"/>
      <c r="J587" s="24"/>
      <c r="K587" s="5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6"/>
      <c r="B588" s="26"/>
      <c r="C588" s="24"/>
      <c r="D588" s="26"/>
      <c r="E588" s="26"/>
      <c r="F588" s="26"/>
      <c r="G588" s="26"/>
      <c r="H588" s="24"/>
      <c r="I588" s="24"/>
      <c r="J588" s="24"/>
      <c r="K588" s="5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6"/>
      <c r="B589" s="26"/>
      <c r="C589" s="24"/>
      <c r="D589" s="26"/>
      <c r="E589" s="26"/>
      <c r="F589" s="26"/>
      <c r="G589" s="26"/>
      <c r="H589" s="24"/>
      <c r="I589" s="24"/>
      <c r="J589" s="24"/>
      <c r="K589" s="5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6"/>
      <c r="B590" s="26"/>
      <c r="C590" s="24"/>
      <c r="D590" s="26"/>
      <c r="E590" s="26"/>
      <c r="F590" s="26"/>
      <c r="G590" s="26"/>
      <c r="H590" s="24"/>
      <c r="I590" s="24"/>
      <c r="J590" s="24"/>
      <c r="K590" s="5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6"/>
      <c r="B591" s="26"/>
      <c r="C591" s="24"/>
      <c r="D591" s="26"/>
      <c r="E591" s="26"/>
      <c r="F591" s="26"/>
      <c r="G591" s="26"/>
      <c r="H591" s="24"/>
      <c r="I591" s="24"/>
      <c r="J591" s="24"/>
      <c r="K591" s="5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6"/>
      <c r="B592" s="26"/>
      <c r="C592" s="24"/>
      <c r="D592" s="26"/>
      <c r="E592" s="26"/>
      <c r="F592" s="26"/>
      <c r="G592" s="26"/>
      <c r="H592" s="24"/>
      <c r="I592" s="24"/>
      <c r="J592" s="24"/>
      <c r="K592" s="5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6"/>
      <c r="B593" s="26"/>
      <c r="C593" s="24"/>
      <c r="D593" s="26"/>
      <c r="E593" s="26"/>
      <c r="F593" s="26"/>
      <c r="G593" s="26"/>
      <c r="H593" s="24"/>
      <c r="I593" s="24"/>
      <c r="J593" s="24"/>
      <c r="K593" s="5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6"/>
      <c r="B594" s="26"/>
      <c r="C594" s="24"/>
      <c r="D594" s="26"/>
      <c r="E594" s="26"/>
      <c r="F594" s="26"/>
      <c r="G594" s="26"/>
      <c r="H594" s="24"/>
      <c r="I594" s="24"/>
      <c r="J594" s="24"/>
      <c r="K594" s="5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6"/>
      <c r="B595" s="26"/>
      <c r="C595" s="24"/>
      <c r="D595" s="26"/>
      <c r="E595" s="26"/>
      <c r="F595" s="26"/>
      <c r="G595" s="26"/>
      <c r="H595" s="24"/>
      <c r="I595" s="24"/>
      <c r="J595" s="24"/>
      <c r="K595" s="5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6"/>
      <c r="B596" s="26"/>
      <c r="C596" s="24"/>
      <c r="D596" s="26"/>
      <c r="E596" s="26"/>
      <c r="F596" s="26"/>
      <c r="G596" s="26"/>
      <c r="H596" s="24"/>
      <c r="I596" s="24"/>
      <c r="J596" s="24"/>
      <c r="K596" s="5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6"/>
      <c r="B597" s="26"/>
      <c r="C597" s="24"/>
      <c r="D597" s="26"/>
      <c r="E597" s="26"/>
      <c r="F597" s="26"/>
      <c r="G597" s="26"/>
      <c r="H597" s="24"/>
      <c r="I597" s="24"/>
      <c r="J597" s="24"/>
      <c r="K597" s="5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6"/>
      <c r="B598" s="26"/>
      <c r="C598" s="24"/>
      <c r="D598" s="26"/>
      <c r="E598" s="26"/>
      <c r="F598" s="26"/>
      <c r="G598" s="26"/>
      <c r="H598" s="24"/>
      <c r="I598" s="24"/>
      <c r="J598" s="24"/>
      <c r="K598" s="5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6"/>
      <c r="B599" s="26"/>
      <c r="C599" s="24"/>
      <c r="D599" s="26"/>
      <c r="E599" s="26"/>
      <c r="F599" s="26"/>
      <c r="G599" s="26"/>
      <c r="H599" s="24"/>
      <c r="I599" s="24"/>
      <c r="J599" s="24"/>
      <c r="K599" s="5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6"/>
      <c r="B600" s="26"/>
      <c r="C600" s="24"/>
      <c r="D600" s="26"/>
      <c r="E600" s="26"/>
      <c r="F600" s="26"/>
      <c r="G600" s="26"/>
      <c r="H600" s="24"/>
      <c r="I600" s="24"/>
      <c r="J600" s="24"/>
      <c r="K600" s="5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6"/>
      <c r="B601" s="26"/>
      <c r="C601" s="24"/>
      <c r="D601" s="26"/>
      <c r="E601" s="26"/>
      <c r="F601" s="26"/>
      <c r="G601" s="26"/>
      <c r="H601" s="24"/>
      <c r="I601" s="24"/>
      <c r="J601" s="24"/>
      <c r="K601" s="5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6"/>
      <c r="B602" s="26"/>
      <c r="C602" s="24"/>
      <c r="D602" s="26"/>
      <c r="E602" s="26"/>
      <c r="F602" s="26"/>
      <c r="G602" s="26"/>
      <c r="H602" s="24"/>
      <c r="I602" s="24"/>
      <c r="J602" s="24"/>
      <c r="K602" s="5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6"/>
      <c r="B603" s="26"/>
      <c r="C603" s="24"/>
      <c r="D603" s="26"/>
      <c r="E603" s="26"/>
      <c r="F603" s="26"/>
      <c r="G603" s="26"/>
      <c r="H603" s="24"/>
      <c r="I603" s="24"/>
      <c r="J603" s="24"/>
      <c r="K603" s="5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6"/>
      <c r="B604" s="26"/>
      <c r="C604" s="24"/>
      <c r="D604" s="26"/>
      <c r="E604" s="26"/>
      <c r="F604" s="26"/>
      <c r="G604" s="26"/>
      <c r="H604" s="24"/>
      <c r="I604" s="24"/>
      <c r="J604" s="24"/>
      <c r="K604" s="5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6"/>
      <c r="B605" s="26"/>
      <c r="C605" s="24"/>
      <c r="D605" s="26"/>
      <c r="E605" s="26"/>
      <c r="F605" s="26"/>
      <c r="G605" s="26"/>
      <c r="H605" s="24"/>
      <c r="I605" s="24"/>
      <c r="J605" s="24"/>
      <c r="K605" s="5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6"/>
      <c r="B606" s="26"/>
      <c r="C606" s="24"/>
      <c r="D606" s="26"/>
      <c r="E606" s="26"/>
      <c r="F606" s="26"/>
      <c r="G606" s="26"/>
      <c r="H606" s="24"/>
      <c r="I606" s="24"/>
      <c r="J606" s="24"/>
      <c r="K606" s="5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6"/>
      <c r="B607" s="26"/>
      <c r="C607" s="24"/>
      <c r="D607" s="26"/>
      <c r="E607" s="26"/>
      <c r="F607" s="26"/>
      <c r="G607" s="26"/>
      <c r="H607" s="24"/>
      <c r="I607" s="24"/>
      <c r="J607" s="24"/>
      <c r="K607" s="5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6"/>
      <c r="B608" s="26"/>
      <c r="C608" s="24"/>
      <c r="D608" s="26"/>
      <c r="E608" s="26"/>
      <c r="F608" s="26"/>
      <c r="G608" s="26"/>
      <c r="H608" s="24"/>
      <c r="I608" s="24"/>
      <c r="J608" s="24"/>
      <c r="K608" s="5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6"/>
      <c r="B609" s="26"/>
      <c r="C609" s="24"/>
      <c r="D609" s="26"/>
      <c r="E609" s="26"/>
      <c r="F609" s="26"/>
      <c r="G609" s="26"/>
      <c r="H609" s="24"/>
      <c r="I609" s="24"/>
      <c r="J609" s="24"/>
      <c r="K609" s="5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6"/>
      <c r="B610" s="26"/>
      <c r="C610" s="24"/>
      <c r="D610" s="26"/>
      <c r="E610" s="26"/>
      <c r="F610" s="26"/>
      <c r="G610" s="26"/>
      <c r="H610" s="24"/>
      <c r="I610" s="24"/>
      <c r="J610" s="24"/>
      <c r="K610" s="5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6"/>
      <c r="B611" s="26"/>
      <c r="C611" s="24"/>
      <c r="D611" s="26"/>
      <c r="E611" s="26"/>
      <c r="F611" s="26"/>
      <c r="G611" s="26"/>
      <c r="H611" s="24"/>
      <c r="I611" s="24"/>
      <c r="J611" s="24"/>
      <c r="K611" s="5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6"/>
      <c r="B612" s="26"/>
      <c r="C612" s="24"/>
      <c r="D612" s="26"/>
      <c r="E612" s="26"/>
      <c r="F612" s="26"/>
      <c r="G612" s="26"/>
      <c r="H612" s="24"/>
      <c r="I612" s="24"/>
      <c r="J612" s="24"/>
      <c r="K612" s="5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6"/>
      <c r="B613" s="26"/>
      <c r="C613" s="24"/>
      <c r="D613" s="26"/>
      <c r="E613" s="26"/>
      <c r="F613" s="26"/>
      <c r="G613" s="26"/>
      <c r="H613" s="24"/>
      <c r="I613" s="24"/>
      <c r="J613" s="24"/>
      <c r="K613" s="5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6"/>
      <c r="B614" s="26"/>
      <c r="C614" s="24"/>
      <c r="D614" s="26"/>
      <c r="E614" s="26"/>
      <c r="F614" s="26"/>
      <c r="G614" s="26"/>
      <c r="H614" s="24"/>
      <c r="I614" s="24"/>
      <c r="J614" s="24"/>
      <c r="K614" s="5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6"/>
      <c r="B615" s="26"/>
      <c r="C615" s="24"/>
      <c r="D615" s="26"/>
      <c r="E615" s="26"/>
      <c r="F615" s="26"/>
      <c r="G615" s="26"/>
      <c r="H615" s="24"/>
      <c r="I615" s="24"/>
      <c r="J615" s="24"/>
      <c r="K615" s="5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6"/>
      <c r="B616" s="26"/>
      <c r="C616" s="24"/>
      <c r="D616" s="26"/>
      <c r="E616" s="26"/>
      <c r="F616" s="26"/>
      <c r="G616" s="26"/>
      <c r="H616" s="24"/>
      <c r="I616" s="24"/>
      <c r="J616" s="24"/>
      <c r="K616" s="5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6"/>
      <c r="B617" s="26"/>
      <c r="C617" s="24"/>
      <c r="D617" s="26"/>
      <c r="E617" s="26"/>
      <c r="F617" s="26"/>
      <c r="G617" s="26"/>
      <c r="H617" s="24"/>
      <c r="I617" s="24"/>
      <c r="J617" s="24"/>
      <c r="K617" s="5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6"/>
      <c r="B618" s="26"/>
      <c r="C618" s="24"/>
      <c r="D618" s="26"/>
      <c r="E618" s="26"/>
      <c r="F618" s="26"/>
      <c r="G618" s="26"/>
      <c r="H618" s="24"/>
      <c r="I618" s="24"/>
      <c r="J618" s="24"/>
      <c r="K618" s="5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6"/>
      <c r="B619" s="26"/>
      <c r="C619" s="24"/>
      <c r="D619" s="26"/>
      <c r="E619" s="26"/>
      <c r="F619" s="26"/>
      <c r="G619" s="26"/>
      <c r="H619" s="24"/>
      <c r="I619" s="24"/>
      <c r="J619" s="24"/>
      <c r="K619" s="5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6"/>
      <c r="B620" s="26"/>
      <c r="C620" s="24"/>
      <c r="D620" s="26"/>
      <c r="E620" s="26"/>
      <c r="F620" s="26"/>
      <c r="G620" s="26"/>
      <c r="H620" s="24"/>
      <c r="I620" s="24"/>
      <c r="J620" s="24"/>
      <c r="K620" s="5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6"/>
      <c r="B621" s="26"/>
      <c r="C621" s="24"/>
      <c r="D621" s="26"/>
      <c r="E621" s="26"/>
      <c r="F621" s="26"/>
      <c r="G621" s="26"/>
      <c r="H621" s="24"/>
      <c r="I621" s="24"/>
      <c r="J621" s="24"/>
      <c r="K621" s="5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6"/>
      <c r="B622" s="26"/>
      <c r="C622" s="24"/>
      <c r="D622" s="26"/>
      <c r="E622" s="26"/>
      <c r="F622" s="26"/>
      <c r="G622" s="26"/>
      <c r="H622" s="24"/>
      <c r="I622" s="24"/>
      <c r="J622" s="24"/>
      <c r="K622" s="5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6"/>
      <c r="B623" s="26"/>
      <c r="C623" s="24"/>
      <c r="D623" s="26"/>
      <c r="E623" s="26"/>
      <c r="F623" s="26"/>
      <c r="G623" s="26"/>
      <c r="H623" s="24"/>
      <c r="I623" s="24"/>
      <c r="J623" s="24"/>
      <c r="K623" s="5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6"/>
      <c r="B624" s="26"/>
      <c r="C624" s="24"/>
      <c r="D624" s="26"/>
      <c r="E624" s="26"/>
      <c r="F624" s="26"/>
      <c r="G624" s="26"/>
      <c r="H624" s="24"/>
      <c r="I624" s="24"/>
      <c r="J624" s="24"/>
      <c r="K624" s="5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6"/>
      <c r="B625" s="26"/>
      <c r="C625" s="24"/>
      <c r="D625" s="26"/>
      <c r="E625" s="26"/>
      <c r="F625" s="26"/>
      <c r="G625" s="26"/>
      <c r="H625" s="24"/>
      <c r="I625" s="24"/>
      <c r="J625" s="24"/>
      <c r="K625" s="5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6"/>
      <c r="B626" s="26"/>
      <c r="C626" s="24"/>
      <c r="D626" s="26"/>
      <c r="E626" s="26"/>
      <c r="F626" s="26"/>
      <c r="G626" s="26"/>
      <c r="H626" s="24"/>
      <c r="I626" s="24"/>
      <c r="J626" s="24"/>
      <c r="K626" s="5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6"/>
      <c r="B627" s="26"/>
      <c r="C627" s="24"/>
      <c r="D627" s="26"/>
      <c r="E627" s="26"/>
      <c r="F627" s="26"/>
      <c r="G627" s="26"/>
      <c r="H627" s="24"/>
      <c r="I627" s="24"/>
      <c r="J627" s="24"/>
      <c r="K627" s="5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6"/>
      <c r="B628" s="26"/>
      <c r="C628" s="24"/>
      <c r="D628" s="26"/>
      <c r="E628" s="26"/>
      <c r="F628" s="26"/>
      <c r="G628" s="26"/>
      <c r="H628" s="24"/>
      <c r="I628" s="24"/>
      <c r="J628" s="24"/>
      <c r="K628" s="5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6"/>
      <c r="B629" s="26"/>
      <c r="C629" s="24"/>
      <c r="D629" s="26"/>
      <c r="E629" s="26"/>
      <c r="F629" s="26"/>
      <c r="G629" s="26"/>
      <c r="H629" s="24"/>
      <c r="I629" s="24"/>
      <c r="J629" s="24"/>
      <c r="K629" s="5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6"/>
      <c r="B630" s="26"/>
      <c r="C630" s="24"/>
      <c r="D630" s="26"/>
      <c r="E630" s="26"/>
      <c r="F630" s="26"/>
      <c r="G630" s="26"/>
      <c r="H630" s="24"/>
      <c r="I630" s="24"/>
      <c r="J630" s="24"/>
      <c r="K630" s="5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6"/>
      <c r="B631" s="26"/>
      <c r="C631" s="24"/>
      <c r="D631" s="26"/>
      <c r="E631" s="26"/>
      <c r="F631" s="26"/>
      <c r="G631" s="26"/>
      <c r="H631" s="24"/>
      <c r="I631" s="24"/>
      <c r="J631" s="24"/>
      <c r="K631" s="5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6"/>
      <c r="B632" s="26"/>
      <c r="C632" s="24"/>
      <c r="D632" s="26"/>
      <c r="E632" s="26"/>
      <c r="F632" s="26"/>
      <c r="G632" s="26"/>
      <c r="H632" s="24"/>
      <c r="I632" s="24"/>
      <c r="J632" s="24"/>
      <c r="K632" s="5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6"/>
      <c r="B633" s="26"/>
      <c r="C633" s="24"/>
      <c r="D633" s="26"/>
      <c r="E633" s="26"/>
      <c r="F633" s="26"/>
      <c r="G633" s="26"/>
      <c r="H633" s="24"/>
      <c r="I633" s="24"/>
      <c r="J633" s="24"/>
      <c r="K633" s="5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6"/>
      <c r="B634" s="26"/>
      <c r="C634" s="24"/>
      <c r="D634" s="26"/>
      <c r="E634" s="26"/>
      <c r="F634" s="26"/>
      <c r="G634" s="26"/>
      <c r="H634" s="24"/>
      <c r="I634" s="24"/>
      <c r="J634" s="24"/>
      <c r="K634" s="5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6"/>
      <c r="B635" s="26"/>
      <c r="C635" s="24"/>
      <c r="D635" s="26"/>
      <c r="E635" s="26"/>
      <c r="F635" s="26"/>
      <c r="G635" s="26"/>
      <c r="H635" s="24"/>
      <c r="I635" s="24"/>
      <c r="J635" s="24"/>
      <c r="K635" s="5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6"/>
      <c r="B636" s="26"/>
      <c r="C636" s="24"/>
      <c r="D636" s="26"/>
      <c r="E636" s="26"/>
      <c r="F636" s="26"/>
      <c r="G636" s="26"/>
      <c r="H636" s="24"/>
      <c r="I636" s="24"/>
      <c r="J636" s="24"/>
      <c r="K636" s="5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6"/>
      <c r="B637" s="26"/>
      <c r="C637" s="24"/>
      <c r="D637" s="26"/>
      <c r="E637" s="26"/>
      <c r="F637" s="26"/>
      <c r="G637" s="26"/>
      <c r="H637" s="24"/>
      <c r="I637" s="24"/>
      <c r="J637" s="24"/>
      <c r="K637" s="5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6"/>
      <c r="B638" s="26"/>
      <c r="C638" s="24"/>
      <c r="D638" s="26"/>
      <c r="E638" s="26"/>
      <c r="F638" s="26"/>
      <c r="G638" s="26"/>
      <c r="H638" s="24"/>
      <c r="I638" s="24"/>
      <c r="J638" s="24"/>
      <c r="K638" s="5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6"/>
      <c r="B639" s="26"/>
      <c r="C639" s="24"/>
      <c r="D639" s="26"/>
      <c r="E639" s="26"/>
      <c r="F639" s="26"/>
      <c r="G639" s="26"/>
      <c r="H639" s="24"/>
      <c r="I639" s="24"/>
      <c r="J639" s="24"/>
      <c r="K639" s="5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6"/>
      <c r="B640" s="26"/>
      <c r="C640" s="24"/>
      <c r="D640" s="26"/>
      <c r="E640" s="26"/>
      <c r="F640" s="26"/>
      <c r="G640" s="26"/>
      <c r="H640" s="24"/>
      <c r="I640" s="24"/>
      <c r="J640" s="24"/>
      <c r="K640" s="5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6"/>
      <c r="B641" s="26"/>
      <c r="C641" s="24"/>
      <c r="D641" s="26"/>
      <c r="E641" s="26"/>
      <c r="F641" s="26"/>
      <c r="G641" s="26"/>
      <c r="H641" s="24"/>
      <c r="I641" s="24"/>
      <c r="J641" s="24"/>
      <c r="K641" s="5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6"/>
      <c r="B642" s="26"/>
      <c r="C642" s="24"/>
      <c r="D642" s="26"/>
      <c r="E642" s="26"/>
      <c r="F642" s="26"/>
      <c r="G642" s="26"/>
      <c r="H642" s="24"/>
      <c r="I642" s="24"/>
      <c r="J642" s="24"/>
      <c r="K642" s="5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6"/>
      <c r="B643" s="26"/>
      <c r="C643" s="24"/>
      <c r="D643" s="26"/>
      <c r="E643" s="26"/>
      <c r="F643" s="26"/>
      <c r="G643" s="26"/>
      <c r="H643" s="24"/>
      <c r="I643" s="24"/>
      <c r="J643" s="24"/>
      <c r="K643" s="5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6"/>
      <c r="B644" s="26"/>
      <c r="C644" s="24"/>
      <c r="D644" s="26"/>
      <c r="E644" s="26"/>
      <c r="F644" s="26"/>
      <c r="G644" s="26"/>
      <c r="H644" s="24"/>
      <c r="I644" s="24"/>
      <c r="J644" s="24"/>
      <c r="K644" s="5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6"/>
      <c r="B645" s="26"/>
      <c r="C645" s="24"/>
      <c r="D645" s="26"/>
      <c r="E645" s="26"/>
      <c r="F645" s="26"/>
      <c r="G645" s="26"/>
      <c r="H645" s="24"/>
      <c r="I645" s="24"/>
      <c r="J645" s="24"/>
      <c r="K645" s="5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6"/>
      <c r="B646" s="26"/>
      <c r="C646" s="24"/>
      <c r="D646" s="26"/>
      <c r="E646" s="26"/>
      <c r="F646" s="26"/>
      <c r="G646" s="26"/>
      <c r="H646" s="24"/>
      <c r="I646" s="24"/>
      <c r="J646" s="24"/>
      <c r="K646" s="5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6"/>
      <c r="B647" s="26"/>
      <c r="C647" s="24"/>
      <c r="D647" s="26"/>
      <c r="E647" s="26"/>
      <c r="F647" s="26"/>
      <c r="G647" s="26"/>
      <c r="H647" s="24"/>
      <c r="I647" s="24"/>
      <c r="J647" s="24"/>
      <c r="K647" s="5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6"/>
      <c r="B648" s="26"/>
      <c r="C648" s="24"/>
      <c r="D648" s="26"/>
      <c r="E648" s="26"/>
      <c r="F648" s="26"/>
      <c r="G648" s="26"/>
      <c r="H648" s="24"/>
      <c r="I648" s="24"/>
      <c r="J648" s="24"/>
      <c r="K648" s="5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6"/>
      <c r="B649" s="26"/>
      <c r="C649" s="24"/>
      <c r="D649" s="26"/>
      <c r="E649" s="26"/>
      <c r="F649" s="26"/>
      <c r="G649" s="26"/>
      <c r="H649" s="24"/>
      <c r="I649" s="24"/>
      <c r="J649" s="24"/>
      <c r="K649" s="5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6"/>
      <c r="B650" s="26"/>
      <c r="C650" s="24"/>
      <c r="D650" s="26"/>
      <c r="E650" s="26"/>
      <c r="F650" s="26"/>
      <c r="G650" s="26"/>
      <c r="H650" s="24"/>
      <c r="I650" s="24"/>
      <c r="J650" s="24"/>
      <c r="K650" s="5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6"/>
      <c r="B651" s="26"/>
      <c r="C651" s="24"/>
      <c r="D651" s="26"/>
      <c r="E651" s="26"/>
      <c r="F651" s="26"/>
      <c r="G651" s="26"/>
      <c r="H651" s="24"/>
      <c r="I651" s="24"/>
      <c r="J651" s="24"/>
      <c r="K651" s="5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6"/>
      <c r="B652" s="26"/>
      <c r="C652" s="24"/>
      <c r="D652" s="26"/>
      <c r="E652" s="26"/>
      <c r="F652" s="26"/>
      <c r="G652" s="26"/>
      <c r="H652" s="24"/>
      <c r="I652" s="24"/>
      <c r="J652" s="24"/>
      <c r="K652" s="5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6"/>
      <c r="B653" s="26"/>
      <c r="C653" s="24"/>
      <c r="D653" s="26"/>
      <c r="E653" s="26"/>
      <c r="F653" s="26"/>
      <c r="G653" s="26"/>
      <c r="H653" s="24"/>
      <c r="I653" s="24"/>
      <c r="J653" s="24"/>
      <c r="K653" s="5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6"/>
      <c r="B654" s="26"/>
      <c r="C654" s="24"/>
      <c r="D654" s="26"/>
      <c r="E654" s="26"/>
      <c r="F654" s="26"/>
      <c r="G654" s="26"/>
      <c r="H654" s="24"/>
      <c r="I654" s="24"/>
      <c r="J654" s="24"/>
      <c r="K654" s="5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6"/>
      <c r="B655" s="26"/>
      <c r="C655" s="24"/>
      <c r="D655" s="26"/>
      <c r="E655" s="26"/>
      <c r="F655" s="26"/>
      <c r="G655" s="26"/>
      <c r="H655" s="24"/>
      <c r="I655" s="24"/>
      <c r="J655" s="24"/>
      <c r="K655" s="5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6"/>
      <c r="B656" s="26"/>
      <c r="C656" s="24"/>
      <c r="D656" s="26"/>
      <c r="E656" s="26"/>
      <c r="F656" s="26"/>
      <c r="G656" s="26"/>
      <c r="H656" s="24"/>
      <c r="I656" s="24"/>
      <c r="J656" s="24"/>
      <c r="K656" s="5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6"/>
      <c r="B657" s="26"/>
      <c r="C657" s="24"/>
      <c r="D657" s="26"/>
      <c r="E657" s="26"/>
      <c r="F657" s="26"/>
      <c r="G657" s="26"/>
      <c r="H657" s="24"/>
      <c r="I657" s="24"/>
      <c r="J657" s="24"/>
      <c r="K657" s="5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6"/>
      <c r="B658" s="26"/>
      <c r="C658" s="24"/>
      <c r="D658" s="26"/>
      <c r="E658" s="26"/>
      <c r="F658" s="26"/>
      <c r="G658" s="26"/>
      <c r="H658" s="24"/>
      <c r="I658" s="24"/>
      <c r="J658" s="24"/>
      <c r="K658" s="5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6"/>
      <c r="B659" s="26"/>
      <c r="C659" s="24"/>
      <c r="D659" s="26"/>
      <c r="E659" s="26"/>
      <c r="F659" s="26"/>
      <c r="G659" s="26"/>
      <c r="H659" s="24"/>
      <c r="I659" s="24"/>
      <c r="J659" s="24"/>
      <c r="K659" s="5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6"/>
      <c r="B660" s="26"/>
      <c r="C660" s="24"/>
      <c r="D660" s="26"/>
      <c r="E660" s="26"/>
      <c r="F660" s="26"/>
      <c r="G660" s="26"/>
      <c r="H660" s="24"/>
      <c r="I660" s="24"/>
      <c r="J660" s="24"/>
      <c r="K660" s="5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6"/>
      <c r="B661" s="26"/>
      <c r="C661" s="24"/>
      <c r="D661" s="26"/>
      <c r="E661" s="26"/>
      <c r="F661" s="26"/>
      <c r="G661" s="26"/>
      <c r="H661" s="24"/>
      <c r="I661" s="24"/>
      <c r="J661" s="24"/>
      <c r="K661" s="5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6"/>
      <c r="B662" s="26"/>
      <c r="C662" s="24"/>
      <c r="D662" s="26"/>
      <c r="E662" s="26"/>
      <c r="F662" s="26"/>
      <c r="G662" s="26"/>
      <c r="H662" s="24"/>
      <c r="I662" s="24"/>
      <c r="J662" s="24"/>
      <c r="K662" s="5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6"/>
      <c r="B663" s="26"/>
      <c r="C663" s="24"/>
      <c r="D663" s="26"/>
      <c r="E663" s="26"/>
      <c r="F663" s="26"/>
      <c r="G663" s="26"/>
      <c r="H663" s="24"/>
      <c r="I663" s="24"/>
      <c r="J663" s="24"/>
      <c r="K663" s="5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6"/>
      <c r="B664" s="26"/>
      <c r="C664" s="24"/>
      <c r="D664" s="26"/>
      <c r="E664" s="26"/>
      <c r="F664" s="26"/>
      <c r="G664" s="26"/>
      <c r="H664" s="24"/>
      <c r="I664" s="24"/>
      <c r="J664" s="24"/>
      <c r="K664" s="5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6"/>
      <c r="B665" s="26"/>
      <c r="C665" s="24"/>
      <c r="D665" s="26"/>
      <c r="E665" s="26"/>
      <c r="F665" s="26"/>
      <c r="G665" s="26"/>
      <c r="H665" s="24"/>
      <c r="I665" s="24"/>
      <c r="J665" s="24"/>
      <c r="K665" s="5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6"/>
      <c r="B666" s="26"/>
      <c r="C666" s="24"/>
      <c r="D666" s="26"/>
      <c r="E666" s="26"/>
      <c r="F666" s="26"/>
      <c r="G666" s="26"/>
      <c r="H666" s="24"/>
      <c r="I666" s="24"/>
      <c r="J666" s="24"/>
      <c r="K666" s="5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6"/>
      <c r="B667" s="26"/>
      <c r="C667" s="24"/>
      <c r="D667" s="26"/>
      <c r="E667" s="26"/>
      <c r="F667" s="26"/>
      <c r="G667" s="26"/>
      <c r="H667" s="24"/>
      <c r="I667" s="24"/>
      <c r="J667" s="24"/>
      <c r="K667" s="5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6"/>
      <c r="B668" s="26"/>
      <c r="C668" s="24"/>
      <c r="D668" s="26"/>
      <c r="E668" s="26"/>
      <c r="F668" s="26"/>
      <c r="G668" s="26"/>
      <c r="H668" s="24"/>
      <c r="I668" s="24"/>
      <c r="J668" s="24"/>
      <c r="K668" s="5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6"/>
      <c r="B669" s="26"/>
      <c r="C669" s="24"/>
      <c r="D669" s="26"/>
      <c r="E669" s="26"/>
      <c r="F669" s="26"/>
      <c r="G669" s="26"/>
      <c r="H669" s="24"/>
      <c r="I669" s="24"/>
      <c r="J669" s="24"/>
      <c r="K669" s="5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6"/>
      <c r="B670" s="26"/>
      <c r="C670" s="24"/>
      <c r="D670" s="26"/>
      <c r="E670" s="26"/>
      <c r="F670" s="26"/>
      <c r="G670" s="26"/>
      <c r="H670" s="24"/>
      <c r="I670" s="24"/>
      <c r="J670" s="24"/>
      <c r="K670" s="5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6"/>
      <c r="B671" s="26"/>
      <c r="C671" s="24"/>
      <c r="D671" s="26"/>
      <c r="E671" s="26"/>
      <c r="F671" s="26"/>
      <c r="G671" s="26"/>
      <c r="H671" s="24"/>
      <c r="I671" s="24"/>
      <c r="J671" s="24"/>
      <c r="K671" s="5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6"/>
      <c r="B672" s="26"/>
      <c r="C672" s="24"/>
      <c r="D672" s="26"/>
      <c r="E672" s="26"/>
      <c r="F672" s="26"/>
      <c r="G672" s="26"/>
      <c r="H672" s="24"/>
      <c r="I672" s="24"/>
      <c r="J672" s="24"/>
      <c r="K672" s="5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6"/>
      <c r="B673" s="26"/>
      <c r="C673" s="24"/>
      <c r="D673" s="26"/>
      <c r="E673" s="26"/>
      <c r="F673" s="26"/>
      <c r="G673" s="26"/>
      <c r="H673" s="24"/>
      <c r="I673" s="24"/>
      <c r="J673" s="24"/>
      <c r="K673" s="5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6"/>
      <c r="B674" s="26"/>
      <c r="C674" s="24"/>
      <c r="D674" s="26"/>
      <c r="E674" s="26"/>
      <c r="F674" s="26"/>
      <c r="G674" s="26"/>
      <c r="H674" s="24"/>
      <c r="I674" s="24"/>
      <c r="J674" s="24"/>
      <c r="K674" s="5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6"/>
      <c r="B675" s="26"/>
      <c r="C675" s="24"/>
      <c r="D675" s="26"/>
      <c r="E675" s="26"/>
      <c r="F675" s="26"/>
      <c r="G675" s="26"/>
      <c r="H675" s="24"/>
      <c r="I675" s="24"/>
      <c r="J675" s="24"/>
      <c r="K675" s="5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6"/>
      <c r="B676" s="26"/>
      <c r="C676" s="24"/>
      <c r="D676" s="26"/>
      <c r="E676" s="26"/>
      <c r="F676" s="26"/>
      <c r="G676" s="26"/>
      <c r="H676" s="24"/>
      <c r="I676" s="24"/>
      <c r="J676" s="24"/>
      <c r="K676" s="5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6"/>
      <c r="B677" s="26"/>
      <c r="C677" s="24"/>
      <c r="D677" s="26"/>
      <c r="E677" s="26"/>
      <c r="F677" s="26"/>
      <c r="G677" s="26"/>
      <c r="H677" s="24"/>
      <c r="I677" s="24"/>
      <c r="J677" s="24"/>
      <c r="K677" s="5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6"/>
      <c r="B678" s="26"/>
      <c r="C678" s="24"/>
      <c r="D678" s="26"/>
      <c r="E678" s="26"/>
      <c r="F678" s="26"/>
      <c r="G678" s="26"/>
      <c r="H678" s="24"/>
      <c r="I678" s="24"/>
      <c r="J678" s="24"/>
      <c r="K678" s="5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6"/>
      <c r="B679" s="26"/>
      <c r="C679" s="24"/>
      <c r="D679" s="26"/>
      <c r="E679" s="26"/>
      <c r="F679" s="26"/>
      <c r="G679" s="26"/>
      <c r="H679" s="24"/>
      <c r="I679" s="24"/>
      <c r="J679" s="24"/>
      <c r="K679" s="5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6"/>
      <c r="B680" s="26"/>
      <c r="C680" s="24"/>
      <c r="D680" s="26"/>
      <c r="E680" s="26"/>
      <c r="F680" s="26"/>
      <c r="G680" s="26"/>
      <c r="H680" s="24"/>
      <c r="I680" s="24"/>
      <c r="J680" s="24"/>
      <c r="K680" s="5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6"/>
      <c r="B681" s="26"/>
      <c r="C681" s="24"/>
      <c r="D681" s="26"/>
      <c r="E681" s="26"/>
      <c r="F681" s="26"/>
      <c r="G681" s="26"/>
      <c r="H681" s="24"/>
      <c r="I681" s="24"/>
      <c r="J681" s="24"/>
      <c r="K681" s="5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6"/>
      <c r="B682" s="26"/>
      <c r="C682" s="24"/>
      <c r="D682" s="26"/>
      <c r="E682" s="26"/>
      <c r="F682" s="26"/>
      <c r="G682" s="26"/>
      <c r="H682" s="24"/>
      <c r="I682" s="24"/>
      <c r="J682" s="24"/>
      <c r="K682" s="5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6"/>
      <c r="B683" s="26"/>
      <c r="C683" s="24"/>
      <c r="D683" s="26"/>
      <c r="E683" s="26"/>
      <c r="F683" s="26"/>
      <c r="G683" s="26"/>
      <c r="H683" s="24"/>
      <c r="I683" s="24"/>
      <c r="J683" s="24"/>
      <c r="K683" s="5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6"/>
      <c r="B684" s="26"/>
      <c r="C684" s="24"/>
      <c r="D684" s="26"/>
      <c r="E684" s="26"/>
      <c r="F684" s="26"/>
      <c r="G684" s="26"/>
      <c r="H684" s="24"/>
      <c r="I684" s="24"/>
      <c r="J684" s="24"/>
      <c r="K684" s="5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6"/>
      <c r="B685" s="26"/>
      <c r="C685" s="24"/>
      <c r="D685" s="26"/>
      <c r="E685" s="26"/>
      <c r="F685" s="26"/>
      <c r="G685" s="26"/>
      <c r="H685" s="24"/>
      <c r="I685" s="24"/>
      <c r="J685" s="24"/>
      <c r="K685" s="5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6"/>
      <c r="B686" s="26"/>
      <c r="C686" s="24"/>
      <c r="D686" s="26"/>
      <c r="E686" s="26"/>
      <c r="F686" s="26"/>
      <c r="G686" s="26"/>
      <c r="H686" s="24"/>
      <c r="I686" s="24"/>
      <c r="J686" s="24"/>
      <c r="K686" s="5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6"/>
      <c r="B687" s="26"/>
      <c r="C687" s="24"/>
      <c r="D687" s="26"/>
      <c r="E687" s="26"/>
      <c r="F687" s="26"/>
      <c r="G687" s="26"/>
      <c r="H687" s="24"/>
      <c r="I687" s="24"/>
      <c r="J687" s="24"/>
      <c r="K687" s="5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6"/>
      <c r="B688" s="26"/>
      <c r="C688" s="24"/>
      <c r="D688" s="26"/>
      <c r="E688" s="26"/>
      <c r="F688" s="26"/>
      <c r="G688" s="26"/>
      <c r="H688" s="24"/>
      <c r="I688" s="24"/>
      <c r="J688" s="24"/>
      <c r="K688" s="5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6"/>
      <c r="B689" s="26"/>
      <c r="C689" s="24"/>
      <c r="D689" s="26"/>
      <c r="E689" s="26"/>
      <c r="F689" s="26"/>
      <c r="G689" s="26"/>
      <c r="H689" s="24"/>
      <c r="I689" s="24"/>
      <c r="J689" s="24"/>
      <c r="K689" s="5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6"/>
      <c r="B690" s="26"/>
      <c r="C690" s="24"/>
      <c r="D690" s="26"/>
      <c r="E690" s="26"/>
      <c r="F690" s="26"/>
      <c r="G690" s="26"/>
      <c r="H690" s="24"/>
      <c r="I690" s="24"/>
      <c r="J690" s="24"/>
      <c r="K690" s="5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6"/>
      <c r="B691" s="26"/>
      <c r="C691" s="24"/>
      <c r="D691" s="26"/>
      <c r="E691" s="26"/>
      <c r="F691" s="26"/>
      <c r="G691" s="26"/>
      <c r="H691" s="24"/>
      <c r="I691" s="24"/>
      <c r="J691" s="24"/>
      <c r="K691" s="5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6"/>
      <c r="B692" s="26"/>
      <c r="C692" s="24"/>
      <c r="D692" s="26"/>
      <c r="E692" s="26"/>
      <c r="F692" s="26"/>
      <c r="G692" s="26"/>
      <c r="H692" s="24"/>
      <c r="I692" s="24"/>
      <c r="J692" s="24"/>
      <c r="K692" s="5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6"/>
      <c r="B693" s="26"/>
      <c r="C693" s="24"/>
      <c r="D693" s="26"/>
      <c r="E693" s="26"/>
      <c r="F693" s="26"/>
      <c r="G693" s="26"/>
      <c r="H693" s="24"/>
      <c r="I693" s="24"/>
      <c r="J693" s="24"/>
      <c r="K693" s="5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6"/>
      <c r="B694" s="26"/>
      <c r="C694" s="24"/>
      <c r="D694" s="26"/>
      <c r="E694" s="26"/>
      <c r="F694" s="26"/>
      <c r="G694" s="26"/>
      <c r="H694" s="24"/>
      <c r="I694" s="24"/>
      <c r="J694" s="24"/>
      <c r="K694" s="5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6"/>
      <c r="B695" s="26"/>
      <c r="C695" s="24"/>
      <c r="D695" s="26"/>
      <c r="E695" s="26"/>
      <c r="F695" s="26"/>
      <c r="G695" s="26"/>
      <c r="H695" s="24"/>
      <c r="I695" s="24"/>
      <c r="J695" s="24"/>
      <c r="K695" s="5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6"/>
      <c r="B696" s="26"/>
      <c r="C696" s="24"/>
      <c r="D696" s="26"/>
      <c r="E696" s="26"/>
      <c r="F696" s="26"/>
      <c r="G696" s="26"/>
      <c r="H696" s="24"/>
      <c r="I696" s="24"/>
      <c r="J696" s="24"/>
      <c r="K696" s="5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6"/>
      <c r="B697" s="26"/>
      <c r="C697" s="24"/>
      <c r="D697" s="26"/>
      <c r="E697" s="26"/>
      <c r="F697" s="26"/>
      <c r="G697" s="26"/>
      <c r="H697" s="24"/>
      <c r="I697" s="24"/>
      <c r="J697" s="24"/>
      <c r="K697" s="5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6"/>
      <c r="B698" s="26"/>
      <c r="C698" s="24"/>
      <c r="D698" s="26"/>
      <c r="E698" s="26"/>
      <c r="F698" s="26"/>
      <c r="G698" s="26"/>
      <c r="H698" s="24"/>
      <c r="I698" s="24"/>
      <c r="J698" s="24"/>
      <c r="K698" s="5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6"/>
      <c r="B699" s="26"/>
      <c r="C699" s="24"/>
      <c r="D699" s="26"/>
      <c r="E699" s="26"/>
      <c r="F699" s="26"/>
      <c r="G699" s="26"/>
      <c r="H699" s="24"/>
      <c r="I699" s="24"/>
      <c r="J699" s="24"/>
      <c r="K699" s="5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6"/>
      <c r="B700" s="26"/>
      <c r="C700" s="24"/>
      <c r="D700" s="26"/>
      <c r="E700" s="26"/>
      <c r="F700" s="26"/>
      <c r="G700" s="26"/>
      <c r="H700" s="24"/>
      <c r="I700" s="24"/>
      <c r="J700" s="24"/>
      <c r="K700" s="5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6"/>
      <c r="B701" s="26"/>
      <c r="C701" s="24"/>
      <c r="D701" s="26"/>
      <c r="E701" s="26"/>
      <c r="F701" s="26"/>
      <c r="G701" s="26"/>
      <c r="H701" s="24"/>
      <c r="I701" s="24"/>
      <c r="J701" s="24"/>
      <c r="K701" s="5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6"/>
      <c r="B702" s="26"/>
      <c r="C702" s="24"/>
      <c r="D702" s="26"/>
      <c r="E702" s="26"/>
      <c r="F702" s="26"/>
      <c r="G702" s="26"/>
      <c r="H702" s="24"/>
      <c r="I702" s="24"/>
      <c r="J702" s="24"/>
      <c r="K702" s="5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6"/>
      <c r="B703" s="26"/>
      <c r="C703" s="24"/>
      <c r="D703" s="26"/>
      <c r="E703" s="26"/>
      <c r="F703" s="26"/>
      <c r="G703" s="26"/>
      <c r="H703" s="24"/>
      <c r="I703" s="24"/>
      <c r="J703" s="24"/>
      <c r="K703" s="5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6"/>
      <c r="B704" s="26"/>
      <c r="C704" s="24"/>
      <c r="D704" s="26"/>
      <c r="E704" s="26"/>
      <c r="F704" s="26"/>
      <c r="G704" s="26"/>
      <c r="H704" s="24"/>
      <c r="I704" s="24"/>
      <c r="J704" s="24"/>
      <c r="K704" s="5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6"/>
      <c r="B705" s="26"/>
      <c r="C705" s="24"/>
      <c r="D705" s="26"/>
      <c r="E705" s="26"/>
      <c r="F705" s="26"/>
      <c r="G705" s="26"/>
      <c r="H705" s="24"/>
      <c r="I705" s="24"/>
      <c r="J705" s="24"/>
      <c r="K705" s="5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6"/>
      <c r="B706" s="26"/>
      <c r="C706" s="24"/>
      <c r="D706" s="26"/>
      <c r="E706" s="26"/>
      <c r="F706" s="26"/>
      <c r="G706" s="26"/>
      <c r="H706" s="24"/>
      <c r="I706" s="24"/>
      <c r="J706" s="24"/>
      <c r="K706" s="5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6"/>
      <c r="B707" s="26"/>
      <c r="C707" s="24"/>
      <c r="D707" s="26"/>
      <c r="E707" s="26"/>
      <c r="F707" s="26"/>
      <c r="G707" s="26"/>
      <c r="H707" s="24"/>
      <c r="I707" s="24"/>
      <c r="J707" s="24"/>
      <c r="K707" s="5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6"/>
      <c r="B708" s="26"/>
      <c r="C708" s="24"/>
      <c r="D708" s="26"/>
      <c r="E708" s="26"/>
      <c r="F708" s="26"/>
      <c r="G708" s="26"/>
      <c r="H708" s="24"/>
      <c r="I708" s="24"/>
      <c r="J708" s="24"/>
      <c r="K708" s="5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6"/>
      <c r="B709" s="26"/>
      <c r="C709" s="24"/>
      <c r="D709" s="26"/>
      <c r="E709" s="26"/>
      <c r="F709" s="26"/>
      <c r="G709" s="26"/>
      <c r="H709" s="24"/>
      <c r="I709" s="24"/>
      <c r="J709" s="24"/>
      <c r="K709" s="5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6"/>
      <c r="B710" s="26"/>
      <c r="C710" s="24"/>
      <c r="D710" s="26"/>
      <c r="E710" s="26"/>
      <c r="F710" s="26"/>
      <c r="G710" s="26"/>
      <c r="H710" s="24"/>
      <c r="I710" s="24"/>
      <c r="J710" s="24"/>
      <c r="K710" s="5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6"/>
      <c r="B711" s="26"/>
      <c r="C711" s="24"/>
      <c r="D711" s="26"/>
      <c r="E711" s="26"/>
      <c r="F711" s="26"/>
      <c r="G711" s="26"/>
      <c r="H711" s="24"/>
      <c r="I711" s="24"/>
      <c r="J711" s="24"/>
      <c r="K711" s="5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6"/>
      <c r="B712" s="26"/>
      <c r="C712" s="24"/>
      <c r="D712" s="26"/>
      <c r="E712" s="26"/>
      <c r="F712" s="26"/>
      <c r="G712" s="26"/>
      <c r="H712" s="24"/>
      <c r="I712" s="24"/>
      <c r="J712" s="24"/>
      <c r="K712" s="5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6"/>
      <c r="B713" s="26"/>
      <c r="C713" s="24"/>
      <c r="D713" s="26"/>
      <c r="E713" s="26"/>
      <c r="F713" s="26"/>
      <c r="G713" s="26"/>
      <c r="H713" s="24"/>
      <c r="I713" s="24"/>
      <c r="J713" s="24"/>
      <c r="K713" s="5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6"/>
      <c r="B714" s="26"/>
      <c r="C714" s="24"/>
      <c r="D714" s="26"/>
      <c r="E714" s="26"/>
      <c r="F714" s="26"/>
      <c r="G714" s="26"/>
      <c r="H714" s="24"/>
      <c r="I714" s="24"/>
      <c r="J714" s="24"/>
      <c r="K714" s="5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6"/>
      <c r="B715" s="26"/>
      <c r="C715" s="24"/>
      <c r="D715" s="26"/>
      <c r="E715" s="26"/>
      <c r="F715" s="26"/>
      <c r="G715" s="26"/>
      <c r="H715" s="24"/>
      <c r="I715" s="24"/>
      <c r="J715" s="24"/>
      <c r="K715" s="5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6"/>
      <c r="B716" s="26"/>
      <c r="C716" s="24"/>
      <c r="D716" s="26"/>
      <c r="E716" s="26"/>
      <c r="F716" s="26"/>
      <c r="G716" s="26"/>
      <c r="H716" s="24"/>
      <c r="I716" s="24"/>
      <c r="J716" s="24"/>
      <c r="K716" s="5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6"/>
      <c r="B717" s="26"/>
      <c r="C717" s="24"/>
      <c r="D717" s="26"/>
      <c r="E717" s="26"/>
      <c r="F717" s="26"/>
      <c r="G717" s="26"/>
      <c r="H717" s="24"/>
      <c r="I717" s="24"/>
      <c r="J717" s="24"/>
      <c r="K717" s="5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6"/>
      <c r="B718" s="26"/>
      <c r="C718" s="24"/>
      <c r="D718" s="26"/>
      <c r="E718" s="26"/>
      <c r="F718" s="26"/>
      <c r="G718" s="26"/>
      <c r="H718" s="24"/>
      <c r="I718" s="24"/>
      <c r="J718" s="24"/>
      <c r="K718" s="5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6"/>
      <c r="B719" s="26"/>
      <c r="C719" s="24"/>
      <c r="D719" s="26"/>
      <c r="E719" s="26"/>
      <c r="F719" s="26"/>
      <c r="G719" s="26"/>
      <c r="H719" s="24"/>
      <c r="I719" s="24"/>
      <c r="J719" s="24"/>
      <c r="K719" s="5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6"/>
      <c r="B720" s="26"/>
      <c r="C720" s="24"/>
      <c r="D720" s="26"/>
      <c r="E720" s="26"/>
      <c r="F720" s="26"/>
      <c r="G720" s="26"/>
      <c r="H720" s="24"/>
      <c r="I720" s="24"/>
      <c r="J720" s="24"/>
      <c r="K720" s="5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6"/>
      <c r="B721" s="26"/>
      <c r="C721" s="24"/>
      <c r="D721" s="26"/>
      <c r="E721" s="26"/>
      <c r="F721" s="26"/>
      <c r="G721" s="26"/>
      <c r="H721" s="24"/>
      <c r="I721" s="24"/>
      <c r="J721" s="24"/>
      <c r="K721" s="5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6"/>
      <c r="B722" s="26"/>
      <c r="C722" s="24"/>
      <c r="D722" s="26"/>
      <c r="E722" s="26"/>
      <c r="F722" s="26"/>
      <c r="G722" s="26"/>
      <c r="H722" s="24"/>
      <c r="I722" s="24"/>
      <c r="J722" s="24"/>
      <c r="K722" s="5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6"/>
      <c r="B723" s="26"/>
      <c r="C723" s="24"/>
      <c r="D723" s="26"/>
      <c r="E723" s="26"/>
      <c r="F723" s="26"/>
      <c r="G723" s="26"/>
      <c r="H723" s="24"/>
      <c r="I723" s="24"/>
      <c r="J723" s="24"/>
      <c r="K723" s="5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6"/>
      <c r="B724" s="26"/>
      <c r="C724" s="24"/>
      <c r="D724" s="26"/>
      <c r="E724" s="26"/>
      <c r="F724" s="26"/>
      <c r="G724" s="26"/>
      <c r="H724" s="24"/>
      <c r="I724" s="24"/>
      <c r="J724" s="24"/>
      <c r="K724" s="5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6"/>
      <c r="B725" s="26"/>
      <c r="C725" s="24"/>
      <c r="D725" s="26"/>
      <c r="E725" s="26"/>
      <c r="F725" s="26"/>
      <c r="G725" s="26"/>
      <c r="H725" s="24"/>
      <c r="I725" s="24"/>
      <c r="J725" s="24"/>
      <c r="K725" s="5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6"/>
      <c r="B726" s="26"/>
      <c r="C726" s="24"/>
      <c r="D726" s="26"/>
      <c r="E726" s="26"/>
      <c r="F726" s="26"/>
      <c r="G726" s="26"/>
      <c r="H726" s="24"/>
      <c r="I726" s="24"/>
      <c r="J726" s="24"/>
      <c r="K726" s="5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6"/>
      <c r="B727" s="26"/>
      <c r="C727" s="24"/>
      <c r="D727" s="26"/>
      <c r="E727" s="26"/>
      <c r="F727" s="26"/>
      <c r="G727" s="26"/>
      <c r="H727" s="24"/>
      <c r="I727" s="24"/>
      <c r="J727" s="24"/>
      <c r="K727" s="5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6"/>
      <c r="B728" s="26"/>
      <c r="C728" s="24"/>
      <c r="D728" s="26"/>
      <c r="E728" s="26"/>
      <c r="F728" s="26"/>
      <c r="G728" s="26"/>
      <c r="H728" s="24"/>
      <c r="I728" s="24"/>
      <c r="J728" s="24"/>
      <c r="K728" s="5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6"/>
      <c r="B729" s="26"/>
      <c r="C729" s="24"/>
      <c r="D729" s="26"/>
      <c r="E729" s="26"/>
      <c r="F729" s="26"/>
      <c r="G729" s="26"/>
      <c r="H729" s="24"/>
      <c r="I729" s="24"/>
      <c r="J729" s="24"/>
      <c r="K729" s="5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6"/>
      <c r="B730" s="26"/>
      <c r="C730" s="24"/>
      <c r="D730" s="26"/>
      <c r="E730" s="26"/>
      <c r="F730" s="26"/>
      <c r="G730" s="26"/>
      <c r="H730" s="24"/>
      <c r="I730" s="24"/>
      <c r="J730" s="24"/>
      <c r="K730" s="5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6"/>
      <c r="B731" s="26"/>
      <c r="C731" s="24"/>
      <c r="D731" s="26"/>
      <c r="E731" s="26"/>
      <c r="F731" s="26"/>
      <c r="G731" s="26"/>
      <c r="H731" s="24"/>
      <c r="I731" s="24"/>
      <c r="J731" s="24"/>
      <c r="K731" s="5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6"/>
      <c r="B732" s="26"/>
      <c r="C732" s="24"/>
      <c r="D732" s="26"/>
      <c r="E732" s="26"/>
      <c r="F732" s="26"/>
      <c r="G732" s="26"/>
      <c r="H732" s="24"/>
      <c r="I732" s="24"/>
      <c r="J732" s="24"/>
      <c r="K732" s="5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6"/>
      <c r="B733" s="26"/>
      <c r="C733" s="24"/>
      <c r="D733" s="26"/>
      <c r="E733" s="26"/>
      <c r="F733" s="26"/>
      <c r="G733" s="26"/>
      <c r="H733" s="24"/>
      <c r="I733" s="24"/>
      <c r="J733" s="24"/>
      <c r="K733" s="5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6"/>
      <c r="B734" s="26"/>
      <c r="C734" s="24"/>
      <c r="D734" s="26"/>
      <c r="E734" s="26"/>
      <c r="F734" s="26"/>
      <c r="G734" s="26"/>
      <c r="H734" s="24"/>
      <c r="I734" s="24"/>
      <c r="J734" s="24"/>
      <c r="K734" s="5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6"/>
      <c r="B735" s="26"/>
      <c r="C735" s="24"/>
      <c r="D735" s="26"/>
      <c r="E735" s="26"/>
      <c r="F735" s="26"/>
      <c r="G735" s="26"/>
      <c r="H735" s="24"/>
      <c r="I735" s="24"/>
      <c r="J735" s="24"/>
      <c r="K735" s="5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6"/>
      <c r="B736" s="26"/>
      <c r="C736" s="24"/>
      <c r="D736" s="26"/>
      <c r="E736" s="26"/>
      <c r="F736" s="26"/>
      <c r="G736" s="26"/>
      <c r="H736" s="24"/>
      <c r="I736" s="24"/>
      <c r="J736" s="24"/>
      <c r="K736" s="5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6"/>
      <c r="B737" s="26"/>
      <c r="C737" s="24"/>
      <c r="D737" s="26"/>
      <c r="E737" s="26"/>
      <c r="F737" s="26"/>
      <c r="G737" s="26"/>
      <c r="H737" s="24"/>
      <c r="I737" s="24"/>
      <c r="J737" s="24"/>
      <c r="K737" s="5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6"/>
      <c r="B738" s="26"/>
      <c r="C738" s="24"/>
      <c r="D738" s="26"/>
      <c r="E738" s="26"/>
      <c r="F738" s="26"/>
      <c r="G738" s="26"/>
      <c r="H738" s="24"/>
      <c r="I738" s="24"/>
      <c r="J738" s="24"/>
      <c r="K738" s="5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6"/>
      <c r="B739" s="26"/>
      <c r="C739" s="24"/>
      <c r="D739" s="26"/>
      <c r="E739" s="26"/>
      <c r="F739" s="26"/>
      <c r="G739" s="26"/>
      <c r="H739" s="24"/>
      <c r="I739" s="24"/>
      <c r="J739" s="24"/>
      <c r="K739" s="5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6"/>
      <c r="B740" s="26"/>
      <c r="C740" s="24"/>
      <c r="D740" s="26"/>
      <c r="E740" s="26"/>
      <c r="F740" s="26"/>
      <c r="G740" s="26"/>
      <c r="H740" s="24"/>
      <c r="I740" s="24"/>
      <c r="J740" s="24"/>
      <c r="K740" s="5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6"/>
      <c r="B741" s="26"/>
      <c r="C741" s="24"/>
      <c r="D741" s="26"/>
      <c r="E741" s="26"/>
      <c r="F741" s="26"/>
      <c r="G741" s="26"/>
      <c r="H741" s="24"/>
      <c r="I741" s="24"/>
      <c r="J741" s="24"/>
      <c r="K741" s="5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6"/>
      <c r="B742" s="26"/>
      <c r="C742" s="24"/>
      <c r="D742" s="26"/>
      <c r="E742" s="26"/>
      <c r="F742" s="26"/>
      <c r="G742" s="26"/>
      <c r="H742" s="24"/>
      <c r="I742" s="24"/>
      <c r="J742" s="24"/>
      <c r="K742" s="5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6"/>
      <c r="B743" s="26"/>
      <c r="C743" s="24"/>
      <c r="D743" s="26"/>
      <c r="E743" s="26"/>
      <c r="F743" s="26"/>
      <c r="G743" s="26"/>
      <c r="H743" s="24"/>
      <c r="I743" s="24"/>
      <c r="J743" s="24"/>
      <c r="K743" s="5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6"/>
      <c r="B744" s="26"/>
      <c r="C744" s="24"/>
      <c r="D744" s="26"/>
      <c r="E744" s="26"/>
      <c r="F744" s="26"/>
      <c r="G744" s="26"/>
      <c r="H744" s="24"/>
      <c r="I744" s="24"/>
      <c r="J744" s="24"/>
      <c r="K744" s="5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6"/>
      <c r="B745" s="26"/>
      <c r="C745" s="24"/>
      <c r="D745" s="26"/>
      <c r="E745" s="26"/>
      <c r="F745" s="26"/>
      <c r="G745" s="26"/>
      <c r="H745" s="24"/>
      <c r="I745" s="24"/>
      <c r="J745" s="24"/>
      <c r="K745" s="5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6"/>
      <c r="B746" s="26"/>
      <c r="C746" s="24"/>
      <c r="D746" s="26"/>
      <c r="E746" s="26"/>
      <c r="F746" s="26"/>
      <c r="G746" s="26"/>
      <c r="H746" s="24"/>
      <c r="I746" s="24"/>
      <c r="J746" s="24"/>
      <c r="K746" s="5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6"/>
      <c r="B747" s="26"/>
      <c r="C747" s="24"/>
      <c r="D747" s="26"/>
      <c r="E747" s="26"/>
      <c r="F747" s="26"/>
      <c r="G747" s="26"/>
      <c r="H747" s="24"/>
      <c r="I747" s="24"/>
      <c r="J747" s="24"/>
      <c r="K747" s="5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6"/>
      <c r="B748" s="26"/>
      <c r="C748" s="24"/>
      <c r="D748" s="26"/>
      <c r="E748" s="26"/>
      <c r="F748" s="26"/>
      <c r="G748" s="26"/>
      <c r="H748" s="24"/>
      <c r="I748" s="24"/>
      <c r="J748" s="24"/>
      <c r="K748" s="5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6"/>
      <c r="B749" s="26"/>
      <c r="C749" s="24"/>
      <c r="D749" s="26"/>
      <c r="E749" s="26"/>
      <c r="F749" s="26"/>
      <c r="G749" s="26"/>
      <c r="H749" s="24"/>
      <c r="I749" s="24"/>
      <c r="J749" s="24"/>
      <c r="K749" s="5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6"/>
      <c r="B750" s="26"/>
      <c r="C750" s="24"/>
      <c r="D750" s="26"/>
      <c r="E750" s="26"/>
      <c r="F750" s="26"/>
      <c r="G750" s="26"/>
      <c r="H750" s="24"/>
      <c r="I750" s="24"/>
      <c r="J750" s="24"/>
      <c r="K750" s="5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6"/>
      <c r="B751" s="26"/>
      <c r="C751" s="24"/>
      <c r="D751" s="26"/>
      <c r="E751" s="26"/>
      <c r="F751" s="26"/>
      <c r="G751" s="26"/>
      <c r="H751" s="24"/>
      <c r="I751" s="24"/>
      <c r="J751" s="24"/>
      <c r="K751" s="5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6"/>
      <c r="B752" s="26"/>
      <c r="C752" s="24"/>
      <c r="D752" s="26"/>
      <c r="E752" s="26"/>
      <c r="F752" s="26"/>
      <c r="G752" s="26"/>
      <c r="H752" s="24"/>
      <c r="I752" s="24"/>
      <c r="J752" s="24"/>
      <c r="K752" s="5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6"/>
      <c r="B753" s="26"/>
      <c r="C753" s="24"/>
      <c r="D753" s="26"/>
      <c r="E753" s="26"/>
      <c r="F753" s="26"/>
      <c r="G753" s="26"/>
      <c r="H753" s="24"/>
      <c r="I753" s="24"/>
      <c r="J753" s="24"/>
      <c r="K753" s="5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6"/>
      <c r="B754" s="26"/>
      <c r="C754" s="24"/>
      <c r="D754" s="26"/>
      <c r="E754" s="26"/>
      <c r="F754" s="26"/>
      <c r="G754" s="26"/>
      <c r="H754" s="24"/>
      <c r="I754" s="24"/>
      <c r="J754" s="24"/>
      <c r="K754" s="5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6"/>
      <c r="B755" s="26"/>
      <c r="C755" s="24"/>
      <c r="D755" s="26"/>
      <c r="E755" s="26"/>
      <c r="F755" s="26"/>
      <c r="G755" s="26"/>
      <c r="H755" s="24"/>
      <c r="I755" s="24"/>
      <c r="J755" s="24"/>
      <c r="K755" s="5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6"/>
      <c r="B756" s="26"/>
      <c r="C756" s="24"/>
      <c r="D756" s="26"/>
      <c r="E756" s="26"/>
      <c r="F756" s="26"/>
      <c r="G756" s="26"/>
      <c r="H756" s="24"/>
      <c r="I756" s="24"/>
      <c r="J756" s="24"/>
      <c r="K756" s="5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6"/>
      <c r="B757" s="26"/>
      <c r="C757" s="24"/>
      <c r="D757" s="26"/>
      <c r="E757" s="26"/>
      <c r="F757" s="26"/>
      <c r="G757" s="26"/>
      <c r="H757" s="24"/>
      <c r="I757" s="24"/>
      <c r="J757" s="24"/>
      <c r="K757" s="5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6"/>
      <c r="B758" s="26"/>
      <c r="C758" s="24"/>
      <c r="D758" s="26"/>
      <c r="E758" s="26"/>
      <c r="F758" s="26"/>
      <c r="G758" s="26"/>
      <c r="H758" s="24"/>
      <c r="I758" s="24"/>
      <c r="J758" s="24"/>
      <c r="K758" s="5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6"/>
      <c r="B759" s="26"/>
      <c r="C759" s="24"/>
      <c r="D759" s="26"/>
      <c r="E759" s="26"/>
      <c r="F759" s="26"/>
      <c r="G759" s="26"/>
      <c r="H759" s="24"/>
      <c r="I759" s="24"/>
      <c r="J759" s="24"/>
      <c r="K759" s="5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6"/>
      <c r="B760" s="26"/>
      <c r="C760" s="24"/>
      <c r="D760" s="26"/>
      <c r="E760" s="26"/>
      <c r="F760" s="26"/>
      <c r="G760" s="26"/>
      <c r="H760" s="24"/>
      <c r="I760" s="24"/>
      <c r="J760" s="24"/>
      <c r="K760" s="5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6"/>
      <c r="B761" s="26"/>
      <c r="C761" s="24"/>
      <c r="D761" s="26"/>
      <c r="E761" s="26"/>
      <c r="F761" s="26"/>
      <c r="G761" s="26"/>
      <c r="H761" s="24"/>
      <c r="I761" s="24"/>
      <c r="J761" s="24"/>
      <c r="K761" s="5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6"/>
      <c r="B762" s="26"/>
      <c r="C762" s="24"/>
      <c r="D762" s="26"/>
      <c r="E762" s="26"/>
      <c r="F762" s="26"/>
      <c r="G762" s="26"/>
      <c r="H762" s="24"/>
      <c r="I762" s="24"/>
      <c r="J762" s="24"/>
      <c r="K762" s="5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6"/>
      <c r="B763" s="26"/>
      <c r="C763" s="24"/>
      <c r="D763" s="26"/>
      <c r="E763" s="26"/>
      <c r="F763" s="26"/>
      <c r="G763" s="26"/>
      <c r="H763" s="24"/>
      <c r="I763" s="24"/>
      <c r="J763" s="24"/>
      <c r="K763" s="5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6"/>
      <c r="B764" s="26"/>
      <c r="C764" s="24"/>
      <c r="D764" s="26"/>
      <c r="E764" s="26"/>
      <c r="F764" s="26"/>
      <c r="G764" s="26"/>
      <c r="H764" s="24"/>
      <c r="I764" s="24"/>
      <c r="J764" s="24"/>
      <c r="K764" s="5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6"/>
      <c r="B765" s="26"/>
      <c r="C765" s="24"/>
      <c r="D765" s="26"/>
      <c r="E765" s="26"/>
      <c r="F765" s="26"/>
      <c r="G765" s="26"/>
      <c r="H765" s="24"/>
      <c r="I765" s="24"/>
      <c r="J765" s="24"/>
      <c r="K765" s="5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6"/>
      <c r="B766" s="26"/>
      <c r="C766" s="24"/>
      <c r="D766" s="26"/>
      <c r="E766" s="26"/>
      <c r="F766" s="26"/>
      <c r="G766" s="26"/>
      <c r="H766" s="24"/>
      <c r="I766" s="24"/>
      <c r="J766" s="24"/>
      <c r="K766" s="5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6"/>
      <c r="B767" s="26"/>
      <c r="C767" s="24"/>
      <c r="D767" s="26"/>
      <c r="E767" s="26"/>
      <c r="F767" s="26"/>
      <c r="G767" s="26"/>
      <c r="H767" s="24"/>
      <c r="I767" s="24"/>
      <c r="J767" s="24"/>
      <c r="K767" s="5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6"/>
      <c r="B768" s="26"/>
      <c r="C768" s="24"/>
      <c r="D768" s="26"/>
      <c r="E768" s="26"/>
      <c r="F768" s="26"/>
      <c r="G768" s="26"/>
      <c r="H768" s="24"/>
      <c r="I768" s="24"/>
      <c r="J768" s="24"/>
      <c r="K768" s="5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6"/>
      <c r="B769" s="26"/>
      <c r="C769" s="24"/>
      <c r="D769" s="26"/>
      <c r="E769" s="26"/>
      <c r="F769" s="26"/>
      <c r="G769" s="26"/>
      <c r="H769" s="24"/>
      <c r="I769" s="24"/>
      <c r="J769" s="24"/>
      <c r="K769" s="5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6"/>
      <c r="B770" s="26"/>
      <c r="C770" s="24"/>
      <c r="D770" s="26"/>
      <c r="E770" s="26"/>
      <c r="F770" s="26"/>
      <c r="G770" s="26"/>
      <c r="H770" s="24"/>
      <c r="I770" s="24"/>
      <c r="J770" s="24"/>
      <c r="K770" s="5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6"/>
      <c r="B771" s="26"/>
      <c r="C771" s="24"/>
      <c r="D771" s="26"/>
      <c r="E771" s="26"/>
      <c r="F771" s="26"/>
      <c r="G771" s="26"/>
      <c r="H771" s="24"/>
      <c r="I771" s="24"/>
      <c r="J771" s="24"/>
      <c r="K771" s="5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6"/>
      <c r="B772" s="26"/>
      <c r="C772" s="24"/>
      <c r="D772" s="26"/>
      <c r="E772" s="26"/>
      <c r="F772" s="26"/>
      <c r="G772" s="26"/>
      <c r="H772" s="24"/>
      <c r="I772" s="24"/>
      <c r="J772" s="24"/>
      <c r="K772" s="5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6"/>
      <c r="B773" s="26"/>
      <c r="C773" s="24"/>
      <c r="D773" s="26"/>
      <c r="E773" s="26"/>
      <c r="F773" s="26"/>
      <c r="G773" s="26"/>
      <c r="H773" s="24"/>
      <c r="I773" s="24"/>
      <c r="J773" s="24"/>
      <c r="K773" s="5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6"/>
      <c r="B774" s="26"/>
      <c r="C774" s="24"/>
      <c r="D774" s="26"/>
      <c r="E774" s="26"/>
      <c r="F774" s="26"/>
      <c r="G774" s="26"/>
      <c r="H774" s="24"/>
      <c r="I774" s="24"/>
      <c r="J774" s="24"/>
      <c r="K774" s="5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6"/>
      <c r="B775" s="26"/>
      <c r="C775" s="24"/>
      <c r="D775" s="26"/>
      <c r="E775" s="26"/>
      <c r="F775" s="26"/>
      <c r="G775" s="26"/>
      <c r="H775" s="24"/>
      <c r="I775" s="24"/>
      <c r="J775" s="24"/>
      <c r="K775" s="5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6"/>
      <c r="B776" s="26"/>
      <c r="C776" s="24"/>
      <c r="D776" s="26"/>
      <c r="E776" s="26"/>
      <c r="F776" s="26"/>
      <c r="G776" s="26"/>
      <c r="H776" s="24"/>
      <c r="I776" s="24"/>
      <c r="J776" s="24"/>
      <c r="K776" s="5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6"/>
      <c r="B777" s="26"/>
      <c r="C777" s="24"/>
      <c r="D777" s="26"/>
      <c r="E777" s="26"/>
      <c r="F777" s="26"/>
      <c r="G777" s="26"/>
      <c r="H777" s="24"/>
      <c r="I777" s="24"/>
      <c r="J777" s="24"/>
      <c r="K777" s="5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6"/>
      <c r="B778" s="26"/>
      <c r="C778" s="24"/>
      <c r="D778" s="26"/>
      <c r="E778" s="26"/>
      <c r="F778" s="26"/>
      <c r="G778" s="26"/>
      <c r="H778" s="24"/>
      <c r="I778" s="24"/>
      <c r="J778" s="24"/>
      <c r="K778" s="5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6"/>
      <c r="B779" s="26"/>
      <c r="C779" s="24"/>
      <c r="D779" s="26"/>
      <c r="E779" s="26"/>
      <c r="F779" s="26"/>
      <c r="G779" s="26"/>
      <c r="H779" s="24"/>
      <c r="I779" s="24"/>
      <c r="J779" s="24"/>
      <c r="K779" s="5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6"/>
      <c r="B780" s="26"/>
      <c r="C780" s="24"/>
      <c r="D780" s="26"/>
      <c r="E780" s="26"/>
      <c r="F780" s="26"/>
      <c r="G780" s="26"/>
      <c r="H780" s="24"/>
      <c r="I780" s="24"/>
      <c r="J780" s="24"/>
      <c r="K780" s="5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6"/>
      <c r="B781" s="26"/>
      <c r="C781" s="24"/>
      <c r="D781" s="26"/>
      <c r="E781" s="26"/>
      <c r="F781" s="26"/>
      <c r="G781" s="26"/>
      <c r="H781" s="24"/>
      <c r="I781" s="24"/>
      <c r="J781" s="24"/>
      <c r="K781" s="5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6"/>
      <c r="B782" s="26"/>
      <c r="C782" s="24"/>
      <c r="D782" s="26"/>
      <c r="E782" s="26"/>
      <c r="F782" s="26"/>
      <c r="G782" s="26"/>
      <c r="H782" s="24"/>
      <c r="I782" s="24"/>
      <c r="J782" s="24"/>
      <c r="K782" s="5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6"/>
      <c r="B783" s="26"/>
      <c r="C783" s="24"/>
      <c r="D783" s="26"/>
      <c r="E783" s="26"/>
      <c r="F783" s="26"/>
      <c r="G783" s="26"/>
      <c r="H783" s="24"/>
      <c r="I783" s="24"/>
      <c r="J783" s="24"/>
      <c r="K783" s="5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6"/>
      <c r="B784" s="26"/>
      <c r="C784" s="24"/>
      <c r="D784" s="26"/>
      <c r="E784" s="26"/>
      <c r="F784" s="26"/>
      <c r="G784" s="26"/>
      <c r="H784" s="24"/>
      <c r="I784" s="24"/>
      <c r="J784" s="24"/>
      <c r="K784" s="5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6"/>
      <c r="B785" s="26"/>
      <c r="C785" s="24"/>
      <c r="D785" s="26"/>
      <c r="E785" s="26"/>
      <c r="F785" s="26"/>
      <c r="G785" s="26"/>
      <c r="H785" s="24"/>
      <c r="I785" s="24"/>
      <c r="J785" s="24"/>
      <c r="K785" s="5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6"/>
      <c r="B786" s="26"/>
      <c r="C786" s="24"/>
      <c r="D786" s="26"/>
      <c r="E786" s="26"/>
      <c r="F786" s="26"/>
      <c r="G786" s="26"/>
      <c r="H786" s="24"/>
      <c r="I786" s="24"/>
      <c r="J786" s="24"/>
      <c r="K786" s="5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6"/>
      <c r="B787" s="26"/>
      <c r="C787" s="24"/>
      <c r="D787" s="26"/>
      <c r="E787" s="26"/>
      <c r="F787" s="26"/>
      <c r="G787" s="26"/>
      <c r="H787" s="24"/>
      <c r="I787" s="24"/>
      <c r="J787" s="24"/>
      <c r="K787" s="5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6"/>
      <c r="B788" s="26"/>
      <c r="C788" s="24"/>
      <c r="D788" s="26"/>
      <c r="E788" s="26"/>
      <c r="F788" s="26"/>
      <c r="G788" s="26"/>
      <c r="H788" s="24"/>
      <c r="I788" s="24"/>
      <c r="J788" s="24"/>
      <c r="K788" s="5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6"/>
      <c r="B789" s="26"/>
      <c r="C789" s="24"/>
      <c r="D789" s="26"/>
      <c r="E789" s="26"/>
      <c r="F789" s="26"/>
      <c r="G789" s="26"/>
      <c r="H789" s="24"/>
      <c r="I789" s="24"/>
      <c r="J789" s="24"/>
      <c r="K789" s="5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6"/>
      <c r="B790" s="26"/>
      <c r="C790" s="24"/>
      <c r="D790" s="26"/>
      <c r="E790" s="26"/>
      <c r="F790" s="26"/>
      <c r="G790" s="26"/>
      <c r="H790" s="24"/>
      <c r="I790" s="24"/>
      <c r="J790" s="24"/>
      <c r="K790" s="5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6"/>
      <c r="B791" s="26"/>
      <c r="C791" s="24"/>
      <c r="D791" s="26"/>
      <c r="E791" s="26"/>
      <c r="F791" s="26"/>
      <c r="G791" s="26"/>
      <c r="H791" s="24"/>
      <c r="I791" s="24"/>
      <c r="J791" s="24"/>
      <c r="K791" s="5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6"/>
      <c r="B792" s="26"/>
      <c r="C792" s="24"/>
      <c r="D792" s="26"/>
      <c r="E792" s="26"/>
      <c r="F792" s="26"/>
      <c r="G792" s="26"/>
      <c r="H792" s="24"/>
      <c r="I792" s="24"/>
      <c r="J792" s="24"/>
      <c r="K792" s="5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6"/>
      <c r="B793" s="26"/>
      <c r="C793" s="24"/>
      <c r="D793" s="26"/>
      <c r="E793" s="26"/>
      <c r="F793" s="26"/>
      <c r="G793" s="26"/>
      <c r="H793" s="24"/>
      <c r="I793" s="24"/>
      <c r="J793" s="24"/>
      <c r="K793" s="5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6"/>
      <c r="B794" s="26"/>
      <c r="C794" s="24"/>
      <c r="D794" s="26"/>
      <c r="E794" s="26"/>
      <c r="F794" s="26"/>
      <c r="G794" s="26"/>
      <c r="H794" s="24"/>
      <c r="I794" s="24"/>
      <c r="J794" s="24"/>
      <c r="K794" s="5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6"/>
      <c r="B795" s="26"/>
      <c r="C795" s="24"/>
      <c r="D795" s="26"/>
      <c r="E795" s="26"/>
      <c r="F795" s="26"/>
      <c r="G795" s="26"/>
      <c r="H795" s="24"/>
      <c r="I795" s="24"/>
      <c r="J795" s="24"/>
      <c r="K795" s="5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6"/>
      <c r="B796" s="26"/>
      <c r="C796" s="24"/>
      <c r="D796" s="26"/>
      <c r="E796" s="26"/>
      <c r="F796" s="26"/>
      <c r="G796" s="26"/>
      <c r="H796" s="24"/>
      <c r="I796" s="24"/>
      <c r="J796" s="24"/>
      <c r="K796" s="5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6"/>
      <c r="B797" s="26"/>
      <c r="C797" s="24"/>
      <c r="D797" s="26"/>
      <c r="E797" s="26"/>
      <c r="F797" s="26"/>
      <c r="G797" s="26"/>
      <c r="H797" s="24"/>
      <c r="I797" s="24"/>
      <c r="J797" s="24"/>
      <c r="K797" s="5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6"/>
      <c r="B798" s="26"/>
      <c r="C798" s="24"/>
      <c r="D798" s="26"/>
      <c r="E798" s="26"/>
      <c r="F798" s="26"/>
      <c r="G798" s="26"/>
      <c r="H798" s="24"/>
      <c r="I798" s="24"/>
      <c r="J798" s="24"/>
      <c r="K798" s="5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6"/>
      <c r="B799" s="26"/>
      <c r="C799" s="24"/>
      <c r="D799" s="26"/>
      <c r="E799" s="26"/>
      <c r="F799" s="26"/>
      <c r="G799" s="26"/>
      <c r="H799" s="24"/>
      <c r="I799" s="24"/>
      <c r="J799" s="24"/>
      <c r="K799" s="5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6"/>
      <c r="B800" s="26"/>
      <c r="C800" s="24"/>
      <c r="D800" s="26"/>
      <c r="E800" s="26"/>
      <c r="F800" s="26"/>
      <c r="G800" s="26"/>
      <c r="H800" s="24"/>
      <c r="I800" s="24"/>
      <c r="J800" s="24"/>
      <c r="K800" s="5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6"/>
      <c r="B801" s="26"/>
      <c r="C801" s="24"/>
      <c r="D801" s="26"/>
      <c r="E801" s="26"/>
      <c r="F801" s="26"/>
      <c r="G801" s="26"/>
      <c r="H801" s="24"/>
      <c r="I801" s="24"/>
      <c r="J801" s="24"/>
      <c r="K801" s="5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6"/>
      <c r="B802" s="26"/>
      <c r="C802" s="24"/>
      <c r="D802" s="26"/>
      <c r="E802" s="26"/>
      <c r="F802" s="26"/>
      <c r="G802" s="26"/>
      <c r="H802" s="24"/>
      <c r="I802" s="24"/>
      <c r="J802" s="24"/>
      <c r="K802" s="5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6"/>
      <c r="B803" s="26"/>
      <c r="C803" s="24"/>
      <c r="D803" s="26"/>
      <c r="E803" s="26"/>
      <c r="F803" s="26"/>
      <c r="G803" s="26"/>
      <c r="H803" s="24"/>
      <c r="I803" s="24"/>
      <c r="J803" s="24"/>
      <c r="K803" s="5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6"/>
      <c r="B804" s="26"/>
      <c r="C804" s="24"/>
      <c r="D804" s="26"/>
      <c r="E804" s="26"/>
      <c r="F804" s="26"/>
      <c r="G804" s="26"/>
      <c r="H804" s="24"/>
      <c r="I804" s="24"/>
      <c r="J804" s="24"/>
      <c r="K804" s="5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6"/>
      <c r="B805" s="26"/>
      <c r="C805" s="24"/>
      <c r="D805" s="26"/>
      <c r="E805" s="26"/>
      <c r="F805" s="26"/>
      <c r="G805" s="26"/>
      <c r="H805" s="24"/>
      <c r="I805" s="24"/>
      <c r="J805" s="24"/>
      <c r="K805" s="5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6"/>
      <c r="B806" s="26"/>
      <c r="C806" s="24"/>
      <c r="D806" s="26"/>
      <c r="E806" s="26"/>
      <c r="F806" s="26"/>
      <c r="G806" s="26"/>
      <c r="H806" s="24"/>
      <c r="I806" s="24"/>
      <c r="J806" s="24"/>
      <c r="K806" s="5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6"/>
      <c r="B807" s="26"/>
      <c r="C807" s="24"/>
      <c r="D807" s="26"/>
      <c r="E807" s="26"/>
      <c r="F807" s="26"/>
      <c r="G807" s="26"/>
      <c r="H807" s="24"/>
      <c r="I807" s="24"/>
      <c r="J807" s="24"/>
      <c r="K807" s="5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6"/>
      <c r="B808" s="26"/>
      <c r="C808" s="24"/>
      <c r="D808" s="26"/>
      <c r="E808" s="26"/>
      <c r="F808" s="26"/>
      <c r="G808" s="26"/>
      <c r="H808" s="24"/>
      <c r="I808" s="24"/>
      <c r="J808" s="24"/>
      <c r="K808" s="5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6"/>
      <c r="B809" s="26"/>
      <c r="C809" s="24"/>
      <c r="D809" s="26"/>
      <c r="E809" s="26"/>
      <c r="F809" s="26"/>
      <c r="G809" s="26"/>
      <c r="H809" s="24"/>
      <c r="I809" s="24"/>
      <c r="J809" s="24"/>
      <c r="K809" s="5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6"/>
      <c r="B810" s="26"/>
      <c r="C810" s="24"/>
      <c r="D810" s="26"/>
      <c r="E810" s="26"/>
      <c r="F810" s="26"/>
      <c r="G810" s="26"/>
      <c r="H810" s="24"/>
      <c r="I810" s="24"/>
      <c r="J810" s="24"/>
      <c r="K810" s="5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6"/>
      <c r="B811" s="26"/>
      <c r="C811" s="24"/>
      <c r="D811" s="26"/>
      <c r="E811" s="26"/>
      <c r="F811" s="26"/>
      <c r="G811" s="26"/>
      <c r="H811" s="24"/>
      <c r="I811" s="24"/>
      <c r="J811" s="24"/>
      <c r="K811" s="5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6"/>
      <c r="B812" s="26"/>
      <c r="C812" s="24"/>
      <c r="D812" s="26"/>
      <c r="E812" s="26"/>
      <c r="F812" s="26"/>
      <c r="G812" s="26"/>
      <c r="H812" s="24"/>
      <c r="I812" s="24"/>
      <c r="J812" s="24"/>
      <c r="K812" s="5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6"/>
      <c r="B813" s="26"/>
      <c r="C813" s="24"/>
      <c r="D813" s="26"/>
      <c r="E813" s="26"/>
      <c r="F813" s="26"/>
      <c r="G813" s="26"/>
      <c r="H813" s="24"/>
      <c r="I813" s="24"/>
      <c r="J813" s="24"/>
      <c r="K813" s="5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6"/>
      <c r="B814" s="26"/>
      <c r="C814" s="24"/>
      <c r="D814" s="26"/>
      <c r="E814" s="26"/>
      <c r="F814" s="26"/>
      <c r="G814" s="26"/>
      <c r="H814" s="24"/>
      <c r="I814" s="24"/>
      <c r="J814" s="24"/>
      <c r="K814" s="5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6"/>
      <c r="B815" s="26"/>
      <c r="C815" s="24"/>
      <c r="D815" s="26"/>
      <c r="E815" s="26"/>
      <c r="F815" s="26"/>
      <c r="G815" s="26"/>
      <c r="H815" s="24"/>
      <c r="I815" s="24"/>
      <c r="J815" s="24"/>
      <c r="K815" s="5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6"/>
      <c r="B816" s="26"/>
      <c r="C816" s="24"/>
      <c r="D816" s="26"/>
      <c r="E816" s="26"/>
      <c r="F816" s="26"/>
      <c r="G816" s="26"/>
      <c r="H816" s="24"/>
      <c r="I816" s="24"/>
      <c r="J816" s="24"/>
      <c r="K816" s="5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6"/>
      <c r="B817" s="26"/>
      <c r="C817" s="24"/>
      <c r="D817" s="26"/>
      <c r="E817" s="26"/>
      <c r="F817" s="26"/>
      <c r="G817" s="26"/>
      <c r="H817" s="24"/>
      <c r="I817" s="24"/>
      <c r="J817" s="24"/>
      <c r="K817" s="5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6"/>
      <c r="B818" s="26"/>
      <c r="C818" s="24"/>
      <c r="D818" s="26"/>
      <c r="E818" s="26"/>
      <c r="F818" s="26"/>
      <c r="G818" s="26"/>
      <c r="H818" s="24"/>
      <c r="I818" s="24"/>
      <c r="J818" s="24"/>
      <c r="K818" s="5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6"/>
      <c r="B819" s="26"/>
      <c r="C819" s="24"/>
      <c r="D819" s="26"/>
      <c r="E819" s="26"/>
      <c r="F819" s="26"/>
      <c r="G819" s="26"/>
      <c r="H819" s="24"/>
      <c r="I819" s="24"/>
      <c r="J819" s="24"/>
      <c r="K819" s="5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6"/>
      <c r="B820" s="26"/>
      <c r="C820" s="24"/>
      <c r="D820" s="26"/>
      <c r="E820" s="26"/>
      <c r="F820" s="26"/>
      <c r="G820" s="26"/>
      <c r="H820" s="24"/>
      <c r="I820" s="24"/>
      <c r="J820" s="24"/>
      <c r="K820" s="5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6"/>
      <c r="B821" s="26"/>
      <c r="C821" s="24"/>
      <c r="D821" s="26"/>
      <c r="E821" s="26"/>
      <c r="F821" s="26"/>
      <c r="G821" s="26"/>
      <c r="H821" s="24"/>
      <c r="I821" s="24"/>
      <c r="J821" s="24"/>
      <c r="K821" s="5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6"/>
      <c r="B822" s="26"/>
      <c r="C822" s="24"/>
      <c r="D822" s="26"/>
      <c r="E822" s="26"/>
      <c r="F822" s="26"/>
      <c r="G822" s="26"/>
      <c r="H822" s="24"/>
      <c r="I822" s="24"/>
      <c r="J822" s="24"/>
      <c r="K822" s="5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6"/>
      <c r="B823" s="26"/>
      <c r="C823" s="24"/>
      <c r="D823" s="26"/>
      <c r="E823" s="26"/>
      <c r="F823" s="26"/>
      <c r="G823" s="26"/>
      <c r="H823" s="24"/>
      <c r="I823" s="24"/>
      <c r="J823" s="24"/>
      <c r="K823" s="5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6"/>
      <c r="B824" s="26"/>
      <c r="C824" s="24"/>
      <c r="D824" s="26"/>
      <c r="E824" s="26"/>
      <c r="F824" s="26"/>
      <c r="G824" s="26"/>
      <c r="H824" s="24"/>
      <c r="I824" s="24"/>
      <c r="J824" s="24"/>
      <c r="K824" s="5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6"/>
      <c r="B825" s="26"/>
      <c r="C825" s="24"/>
      <c r="D825" s="26"/>
      <c r="E825" s="26"/>
      <c r="F825" s="26"/>
      <c r="G825" s="26"/>
      <c r="H825" s="24"/>
      <c r="I825" s="24"/>
      <c r="J825" s="24"/>
      <c r="K825" s="5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6"/>
      <c r="B826" s="26"/>
      <c r="C826" s="24"/>
      <c r="D826" s="26"/>
      <c r="E826" s="26"/>
      <c r="F826" s="26"/>
      <c r="G826" s="26"/>
      <c r="H826" s="24"/>
      <c r="I826" s="24"/>
      <c r="J826" s="24"/>
      <c r="K826" s="5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6"/>
      <c r="B827" s="26"/>
      <c r="C827" s="24"/>
      <c r="D827" s="26"/>
      <c r="E827" s="26"/>
      <c r="F827" s="26"/>
      <c r="G827" s="26"/>
      <c r="H827" s="24"/>
      <c r="I827" s="24"/>
      <c r="J827" s="24"/>
      <c r="K827" s="5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6"/>
      <c r="B828" s="26"/>
      <c r="C828" s="24"/>
      <c r="D828" s="26"/>
      <c r="E828" s="26"/>
      <c r="F828" s="26"/>
      <c r="G828" s="26"/>
      <c r="H828" s="24"/>
      <c r="I828" s="24"/>
      <c r="J828" s="24"/>
      <c r="K828" s="5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6"/>
      <c r="B829" s="26"/>
      <c r="C829" s="24"/>
      <c r="D829" s="26"/>
      <c r="E829" s="26"/>
      <c r="F829" s="26"/>
      <c r="G829" s="26"/>
      <c r="H829" s="24"/>
      <c r="I829" s="24"/>
      <c r="J829" s="24"/>
      <c r="K829" s="5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6"/>
      <c r="B830" s="26"/>
      <c r="C830" s="24"/>
      <c r="D830" s="26"/>
      <c r="E830" s="26"/>
      <c r="F830" s="26"/>
      <c r="G830" s="26"/>
      <c r="H830" s="24"/>
      <c r="I830" s="24"/>
      <c r="J830" s="24"/>
      <c r="K830" s="5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6"/>
      <c r="B831" s="26"/>
      <c r="C831" s="24"/>
      <c r="D831" s="26"/>
      <c r="E831" s="26"/>
      <c r="F831" s="26"/>
      <c r="G831" s="26"/>
      <c r="H831" s="24"/>
      <c r="I831" s="24"/>
      <c r="J831" s="24"/>
      <c r="K831" s="5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6"/>
      <c r="B832" s="26"/>
      <c r="C832" s="24"/>
      <c r="D832" s="26"/>
      <c r="E832" s="26"/>
      <c r="F832" s="26"/>
      <c r="G832" s="26"/>
      <c r="H832" s="24"/>
      <c r="I832" s="24"/>
      <c r="J832" s="24"/>
      <c r="K832" s="5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6"/>
      <c r="B833" s="26"/>
      <c r="C833" s="24"/>
      <c r="D833" s="26"/>
      <c r="E833" s="26"/>
      <c r="F833" s="26"/>
      <c r="G833" s="26"/>
      <c r="H833" s="24"/>
      <c r="I833" s="24"/>
      <c r="J833" s="24"/>
      <c r="K833" s="5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6"/>
      <c r="B834" s="26"/>
      <c r="C834" s="24"/>
      <c r="D834" s="26"/>
      <c r="E834" s="26"/>
      <c r="F834" s="26"/>
      <c r="G834" s="26"/>
      <c r="H834" s="24"/>
      <c r="I834" s="24"/>
      <c r="J834" s="24"/>
      <c r="K834" s="5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6"/>
      <c r="B835" s="26"/>
      <c r="C835" s="24"/>
      <c r="D835" s="26"/>
      <c r="E835" s="26"/>
      <c r="F835" s="26"/>
      <c r="G835" s="26"/>
      <c r="H835" s="24"/>
      <c r="I835" s="24"/>
      <c r="J835" s="24"/>
      <c r="K835" s="5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6"/>
      <c r="B836" s="26"/>
      <c r="C836" s="24"/>
      <c r="D836" s="26"/>
      <c r="E836" s="26"/>
      <c r="F836" s="26"/>
      <c r="G836" s="26"/>
      <c r="H836" s="24"/>
      <c r="I836" s="24"/>
      <c r="J836" s="24"/>
      <c r="K836" s="5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6"/>
      <c r="B837" s="26"/>
      <c r="C837" s="24"/>
      <c r="D837" s="26"/>
      <c r="E837" s="26"/>
      <c r="F837" s="26"/>
      <c r="G837" s="26"/>
      <c r="H837" s="24"/>
      <c r="I837" s="24"/>
      <c r="J837" s="24"/>
      <c r="K837" s="5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6"/>
      <c r="B838" s="26"/>
      <c r="C838" s="24"/>
      <c r="D838" s="26"/>
      <c r="E838" s="26"/>
      <c r="F838" s="26"/>
      <c r="G838" s="26"/>
      <c r="H838" s="24"/>
      <c r="I838" s="24"/>
      <c r="J838" s="24"/>
      <c r="K838" s="5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6"/>
      <c r="B839" s="26"/>
      <c r="C839" s="24"/>
      <c r="D839" s="26"/>
      <c r="E839" s="26"/>
      <c r="F839" s="26"/>
      <c r="G839" s="26"/>
      <c r="H839" s="24"/>
      <c r="I839" s="24"/>
      <c r="J839" s="24"/>
      <c r="K839" s="5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6"/>
      <c r="B840" s="26"/>
      <c r="C840" s="24"/>
      <c r="D840" s="26"/>
      <c r="E840" s="26"/>
      <c r="F840" s="26"/>
      <c r="G840" s="26"/>
      <c r="H840" s="24"/>
      <c r="I840" s="24"/>
      <c r="J840" s="24"/>
      <c r="K840" s="5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6"/>
      <c r="B841" s="26"/>
      <c r="C841" s="24"/>
      <c r="D841" s="26"/>
      <c r="E841" s="26"/>
      <c r="F841" s="26"/>
      <c r="G841" s="26"/>
      <c r="H841" s="24"/>
      <c r="I841" s="24"/>
      <c r="J841" s="24"/>
      <c r="K841" s="5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6"/>
      <c r="B842" s="26"/>
      <c r="C842" s="24"/>
      <c r="D842" s="26"/>
      <c r="E842" s="26"/>
      <c r="F842" s="26"/>
      <c r="G842" s="26"/>
      <c r="H842" s="24"/>
      <c r="I842" s="24"/>
      <c r="J842" s="24"/>
      <c r="K842" s="5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6"/>
      <c r="B843" s="26"/>
      <c r="C843" s="24"/>
      <c r="D843" s="26"/>
      <c r="E843" s="26"/>
      <c r="F843" s="26"/>
      <c r="G843" s="26"/>
      <c r="H843" s="24"/>
      <c r="I843" s="24"/>
      <c r="J843" s="24"/>
      <c r="K843" s="5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6"/>
      <c r="B844" s="26"/>
      <c r="C844" s="24"/>
      <c r="D844" s="26"/>
      <c r="E844" s="26"/>
      <c r="F844" s="26"/>
      <c r="G844" s="26"/>
      <c r="H844" s="24"/>
      <c r="I844" s="24"/>
      <c r="J844" s="24"/>
      <c r="K844" s="5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6"/>
      <c r="B845" s="26"/>
      <c r="C845" s="24"/>
      <c r="D845" s="26"/>
      <c r="E845" s="26"/>
      <c r="F845" s="26"/>
      <c r="G845" s="26"/>
      <c r="H845" s="24"/>
      <c r="I845" s="24"/>
      <c r="J845" s="24"/>
      <c r="K845" s="5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6"/>
      <c r="B846" s="26"/>
      <c r="C846" s="24"/>
      <c r="D846" s="26"/>
      <c r="E846" s="26"/>
      <c r="F846" s="26"/>
      <c r="G846" s="26"/>
      <c r="H846" s="24"/>
      <c r="I846" s="24"/>
      <c r="J846" s="24"/>
      <c r="K846" s="5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6"/>
      <c r="B847" s="26"/>
      <c r="C847" s="24"/>
      <c r="D847" s="26"/>
      <c r="E847" s="26"/>
      <c r="F847" s="26"/>
      <c r="G847" s="26"/>
      <c r="H847" s="24"/>
      <c r="I847" s="24"/>
      <c r="J847" s="24"/>
      <c r="K847" s="5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6"/>
      <c r="B848" s="26"/>
      <c r="C848" s="24"/>
      <c r="D848" s="26"/>
      <c r="E848" s="26"/>
      <c r="F848" s="26"/>
      <c r="G848" s="26"/>
      <c r="H848" s="24"/>
      <c r="I848" s="24"/>
      <c r="J848" s="24"/>
      <c r="K848" s="5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6"/>
      <c r="B849" s="26"/>
      <c r="C849" s="24"/>
      <c r="D849" s="26"/>
      <c r="E849" s="26"/>
      <c r="F849" s="26"/>
      <c r="G849" s="26"/>
      <c r="H849" s="24"/>
      <c r="I849" s="24"/>
      <c r="J849" s="24"/>
      <c r="K849" s="5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6"/>
      <c r="B850" s="26"/>
      <c r="C850" s="24"/>
      <c r="D850" s="26"/>
      <c r="E850" s="26"/>
      <c r="F850" s="26"/>
      <c r="G850" s="26"/>
      <c r="H850" s="24"/>
      <c r="I850" s="24"/>
      <c r="J850" s="24"/>
      <c r="K850" s="5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6"/>
      <c r="B851" s="26"/>
      <c r="C851" s="24"/>
      <c r="D851" s="26"/>
      <c r="E851" s="26"/>
      <c r="F851" s="26"/>
      <c r="G851" s="26"/>
      <c r="H851" s="24"/>
      <c r="I851" s="24"/>
      <c r="J851" s="24"/>
      <c r="K851" s="5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6"/>
      <c r="B852" s="26"/>
      <c r="C852" s="24"/>
      <c r="D852" s="26"/>
      <c r="E852" s="26"/>
      <c r="F852" s="26"/>
      <c r="G852" s="26"/>
      <c r="H852" s="24"/>
      <c r="I852" s="24"/>
      <c r="J852" s="24"/>
      <c r="K852" s="5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6"/>
      <c r="B853" s="26"/>
      <c r="C853" s="24"/>
      <c r="D853" s="26"/>
      <c r="E853" s="26"/>
      <c r="F853" s="26"/>
      <c r="G853" s="26"/>
      <c r="H853" s="24"/>
      <c r="I853" s="24"/>
      <c r="J853" s="24"/>
      <c r="K853" s="5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6"/>
      <c r="B854" s="26"/>
      <c r="C854" s="24"/>
      <c r="D854" s="26"/>
      <c r="E854" s="26"/>
      <c r="F854" s="26"/>
      <c r="G854" s="26"/>
      <c r="H854" s="24"/>
      <c r="I854" s="24"/>
      <c r="J854" s="24"/>
      <c r="K854" s="5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6"/>
      <c r="B855" s="26"/>
      <c r="C855" s="24"/>
      <c r="D855" s="26"/>
      <c r="E855" s="26"/>
      <c r="F855" s="26"/>
      <c r="G855" s="26"/>
      <c r="H855" s="24"/>
      <c r="I855" s="24"/>
      <c r="J855" s="24"/>
      <c r="K855" s="5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6"/>
      <c r="B856" s="26"/>
      <c r="C856" s="24"/>
      <c r="D856" s="26"/>
      <c r="E856" s="26"/>
      <c r="F856" s="26"/>
      <c r="G856" s="26"/>
      <c r="H856" s="24"/>
      <c r="I856" s="24"/>
      <c r="J856" s="24"/>
      <c r="K856" s="5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6"/>
      <c r="B857" s="26"/>
      <c r="C857" s="24"/>
      <c r="D857" s="26"/>
      <c r="E857" s="26"/>
      <c r="F857" s="26"/>
      <c r="G857" s="26"/>
      <c r="H857" s="24"/>
      <c r="I857" s="24"/>
      <c r="J857" s="24"/>
      <c r="K857" s="5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6"/>
      <c r="B858" s="26"/>
      <c r="C858" s="24"/>
      <c r="D858" s="26"/>
      <c r="E858" s="26"/>
      <c r="F858" s="26"/>
      <c r="G858" s="26"/>
      <c r="H858" s="24"/>
      <c r="I858" s="24"/>
      <c r="J858" s="24"/>
      <c r="K858" s="5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6"/>
      <c r="B859" s="26"/>
      <c r="C859" s="24"/>
      <c r="D859" s="26"/>
      <c r="E859" s="26"/>
      <c r="F859" s="26"/>
      <c r="G859" s="26"/>
      <c r="H859" s="24"/>
      <c r="I859" s="24"/>
      <c r="J859" s="24"/>
      <c r="K859" s="5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6"/>
      <c r="B860" s="26"/>
      <c r="C860" s="24"/>
      <c r="D860" s="26"/>
      <c r="E860" s="26"/>
      <c r="F860" s="26"/>
      <c r="G860" s="26"/>
      <c r="H860" s="24"/>
      <c r="I860" s="24"/>
      <c r="J860" s="24"/>
      <c r="K860" s="5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6"/>
      <c r="B861" s="26"/>
      <c r="C861" s="24"/>
      <c r="D861" s="26"/>
      <c r="E861" s="26"/>
      <c r="F861" s="26"/>
      <c r="G861" s="26"/>
      <c r="H861" s="24"/>
      <c r="I861" s="24"/>
      <c r="J861" s="24"/>
      <c r="K861" s="5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6"/>
      <c r="B862" s="26"/>
      <c r="C862" s="24"/>
      <c r="D862" s="26"/>
      <c r="E862" s="26"/>
      <c r="F862" s="26"/>
      <c r="G862" s="26"/>
      <c r="H862" s="24"/>
      <c r="I862" s="24"/>
      <c r="J862" s="24"/>
      <c r="K862" s="5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6"/>
      <c r="B863" s="26"/>
      <c r="C863" s="24"/>
      <c r="D863" s="26"/>
      <c r="E863" s="26"/>
      <c r="F863" s="26"/>
      <c r="G863" s="26"/>
      <c r="H863" s="24"/>
      <c r="I863" s="24"/>
      <c r="J863" s="24"/>
      <c r="K863" s="5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6"/>
      <c r="B864" s="26"/>
      <c r="C864" s="24"/>
      <c r="D864" s="26"/>
      <c r="E864" s="26"/>
      <c r="F864" s="26"/>
      <c r="G864" s="26"/>
      <c r="H864" s="24"/>
      <c r="I864" s="24"/>
      <c r="J864" s="24"/>
      <c r="K864" s="5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6"/>
      <c r="B865" s="26"/>
      <c r="C865" s="24"/>
      <c r="D865" s="26"/>
      <c r="E865" s="26"/>
      <c r="F865" s="26"/>
      <c r="G865" s="26"/>
      <c r="H865" s="24"/>
      <c r="I865" s="24"/>
      <c r="J865" s="24"/>
      <c r="K865" s="5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6"/>
      <c r="B866" s="26"/>
      <c r="C866" s="24"/>
      <c r="D866" s="26"/>
      <c r="E866" s="26"/>
      <c r="F866" s="26"/>
      <c r="G866" s="26"/>
      <c r="H866" s="24"/>
      <c r="I866" s="24"/>
      <c r="J866" s="24"/>
      <c r="K866" s="5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6"/>
      <c r="B867" s="26"/>
      <c r="C867" s="24"/>
      <c r="D867" s="26"/>
      <c r="E867" s="26"/>
      <c r="F867" s="26"/>
      <c r="G867" s="26"/>
      <c r="H867" s="24"/>
      <c r="I867" s="24"/>
      <c r="J867" s="24"/>
      <c r="K867" s="5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6"/>
      <c r="B868" s="26"/>
      <c r="C868" s="24"/>
      <c r="D868" s="26"/>
      <c r="E868" s="26"/>
      <c r="F868" s="26"/>
      <c r="G868" s="26"/>
      <c r="H868" s="24"/>
      <c r="I868" s="24"/>
      <c r="J868" s="24"/>
      <c r="K868" s="5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6"/>
      <c r="B869" s="26"/>
      <c r="C869" s="24"/>
      <c r="D869" s="26"/>
      <c r="E869" s="26"/>
      <c r="F869" s="26"/>
      <c r="G869" s="26"/>
      <c r="H869" s="24"/>
      <c r="I869" s="24"/>
      <c r="J869" s="24"/>
      <c r="K869" s="5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6"/>
      <c r="B870" s="26"/>
      <c r="C870" s="24"/>
      <c r="D870" s="26"/>
      <c r="E870" s="26"/>
      <c r="F870" s="26"/>
      <c r="G870" s="26"/>
      <c r="H870" s="24"/>
      <c r="I870" s="24"/>
      <c r="J870" s="24"/>
      <c r="K870" s="5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6"/>
      <c r="B871" s="26"/>
      <c r="C871" s="24"/>
      <c r="D871" s="26"/>
      <c r="E871" s="26"/>
      <c r="F871" s="26"/>
      <c r="G871" s="26"/>
      <c r="H871" s="24"/>
      <c r="I871" s="24"/>
      <c r="J871" s="24"/>
      <c r="K871" s="5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6"/>
      <c r="B872" s="26"/>
      <c r="C872" s="24"/>
      <c r="D872" s="26"/>
      <c r="E872" s="26"/>
      <c r="F872" s="26"/>
      <c r="G872" s="26"/>
      <c r="H872" s="24"/>
      <c r="I872" s="24"/>
      <c r="J872" s="24"/>
      <c r="K872" s="5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6"/>
      <c r="B873" s="26"/>
      <c r="C873" s="24"/>
      <c r="D873" s="26"/>
      <c r="E873" s="26"/>
      <c r="F873" s="26"/>
      <c r="G873" s="26"/>
      <c r="H873" s="24"/>
      <c r="I873" s="24"/>
      <c r="J873" s="24"/>
      <c r="K873" s="5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6"/>
      <c r="B874" s="26"/>
      <c r="C874" s="24"/>
      <c r="D874" s="26"/>
      <c r="E874" s="26"/>
      <c r="F874" s="26"/>
      <c r="G874" s="26"/>
      <c r="H874" s="24"/>
      <c r="I874" s="24"/>
      <c r="J874" s="24"/>
      <c r="K874" s="5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6"/>
      <c r="B875" s="26"/>
      <c r="C875" s="24"/>
      <c r="D875" s="26"/>
      <c r="E875" s="26"/>
      <c r="F875" s="26"/>
      <c r="G875" s="26"/>
      <c r="H875" s="24"/>
      <c r="I875" s="24"/>
      <c r="J875" s="24"/>
      <c r="K875" s="5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6"/>
      <c r="B876" s="26"/>
      <c r="C876" s="24"/>
      <c r="D876" s="26"/>
      <c r="E876" s="26"/>
      <c r="F876" s="26"/>
      <c r="G876" s="26"/>
      <c r="H876" s="24"/>
      <c r="I876" s="24"/>
      <c r="J876" s="24"/>
      <c r="K876" s="5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6"/>
      <c r="B877" s="26"/>
      <c r="C877" s="24"/>
      <c r="D877" s="26"/>
      <c r="E877" s="26"/>
      <c r="F877" s="26"/>
      <c r="G877" s="26"/>
      <c r="H877" s="24"/>
      <c r="I877" s="24"/>
      <c r="J877" s="24"/>
      <c r="K877" s="5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6"/>
      <c r="B878" s="26"/>
      <c r="C878" s="24"/>
      <c r="D878" s="26"/>
      <c r="E878" s="26"/>
      <c r="F878" s="26"/>
      <c r="G878" s="26"/>
      <c r="H878" s="24"/>
      <c r="I878" s="24"/>
      <c r="J878" s="24"/>
      <c r="K878" s="5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6"/>
      <c r="B879" s="26"/>
      <c r="C879" s="24"/>
      <c r="D879" s="26"/>
      <c r="E879" s="26"/>
      <c r="F879" s="26"/>
      <c r="G879" s="26"/>
      <c r="H879" s="24"/>
      <c r="I879" s="24"/>
      <c r="J879" s="24"/>
      <c r="K879" s="5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6"/>
      <c r="B880" s="26"/>
      <c r="C880" s="24"/>
      <c r="D880" s="26"/>
      <c r="E880" s="26"/>
      <c r="F880" s="26"/>
      <c r="G880" s="26"/>
      <c r="H880" s="24"/>
      <c r="I880" s="24"/>
      <c r="J880" s="24"/>
      <c r="K880" s="5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6"/>
      <c r="B881" s="26"/>
      <c r="C881" s="24"/>
      <c r="D881" s="26"/>
      <c r="E881" s="26"/>
      <c r="F881" s="26"/>
      <c r="G881" s="26"/>
      <c r="H881" s="24"/>
      <c r="I881" s="24"/>
      <c r="J881" s="24"/>
      <c r="K881" s="5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6"/>
      <c r="B882" s="26"/>
      <c r="C882" s="24"/>
      <c r="D882" s="26"/>
      <c r="E882" s="26"/>
      <c r="F882" s="26"/>
      <c r="G882" s="26"/>
      <c r="H882" s="24"/>
      <c r="I882" s="24"/>
      <c r="J882" s="24"/>
      <c r="K882" s="5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6"/>
      <c r="B883" s="26"/>
      <c r="C883" s="24"/>
      <c r="D883" s="26"/>
      <c r="E883" s="26"/>
      <c r="F883" s="26"/>
      <c r="G883" s="26"/>
      <c r="H883" s="24"/>
      <c r="I883" s="24"/>
      <c r="J883" s="24"/>
      <c r="K883" s="5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6"/>
      <c r="B884" s="26"/>
      <c r="C884" s="24"/>
      <c r="D884" s="26"/>
      <c r="E884" s="26"/>
      <c r="F884" s="26"/>
      <c r="G884" s="26"/>
      <c r="H884" s="24"/>
      <c r="I884" s="24"/>
      <c r="J884" s="24"/>
      <c r="K884" s="5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6"/>
      <c r="B885" s="26"/>
      <c r="C885" s="24"/>
      <c r="D885" s="26"/>
      <c r="E885" s="26"/>
      <c r="F885" s="26"/>
      <c r="G885" s="26"/>
      <c r="H885" s="24"/>
      <c r="I885" s="24"/>
      <c r="J885" s="24"/>
      <c r="K885" s="5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6"/>
      <c r="B886" s="26"/>
      <c r="C886" s="24"/>
      <c r="D886" s="26"/>
      <c r="E886" s="26"/>
      <c r="F886" s="26"/>
      <c r="G886" s="26"/>
      <c r="H886" s="24"/>
      <c r="I886" s="24"/>
      <c r="J886" s="24"/>
      <c r="K886" s="5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6"/>
      <c r="B887" s="26"/>
      <c r="C887" s="24"/>
      <c r="D887" s="26"/>
      <c r="E887" s="26"/>
      <c r="F887" s="26"/>
      <c r="G887" s="26"/>
      <c r="H887" s="24"/>
      <c r="I887" s="24"/>
      <c r="J887" s="24"/>
      <c r="K887" s="5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6"/>
      <c r="B888" s="26"/>
      <c r="C888" s="24"/>
      <c r="D888" s="26"/>
      <c r="E888" s="26"/>
      <c r="F888" s="26"/>
      <c r="G888" s="26"/>
      <c r="H888" s="24"/>
      <c r="I888" s="24"/>
      <c r="J888" s="24"/>
      <c r="K888" s="5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6"/>
      <c r="B889" s="26"/>
      <c r="C889" s="24"/>
      <c r="D889" s="26"/>
      <c r="E889" s="26"/>
      <c r="F889" s="26"/>
      <c r="G889" s="26"/>
      <c r="H889" s="24"/>
      <c r="I889" s="24"/>
      <c r="J889" s="24"/>
      <c r="K889" s="5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6"/>
      <c r="B890" s="26"/>
      <c r="C890" s="24"/>
      <c r="D890" s="26"/>
      <c r="E890" s="26"/>
      <c r="F890" s="26"/>
      <c r="G890" s="26"/>
      <c r="H890" s="24"/>
      <c r="I890" s="24"/>
      <c r="J890" s="24"/>
      <c r="K890" s="5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6"/>
      <c r="B891" s="26"/>
      <c r="C891" s="24"/>
      <c r="D891" s="26"/>
      <c r="E891" s="26"/>
      <c r="F891" s="26"/>
      <c r="G891" s="26"/>
      <c r="H891" s="24"/>
      <c r="I891" s="24"/>
      <c r="J891" s="24"/>
      <c r="K891" s="5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6"/>
      <c r="B892" s="26"/>
      <c r="C892" s="24"/>
      <c r="D892" s="26"/>
      <c r="E892" s="26"/>
      <c r="F892" s="26"/>
      <c r="G892" s="26"/>
      <c r="H892" s="24"/>
      <c r="I892" s="24"/>
      <c r="J892" s="24"/>
      <c r="K892" s="5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6"/>
      <c r="B893" s="26"/>
      <c r="C893" s="24"/>
      <c r="D893" s="26"/>
      <c r="E893" s="26"/>
      <c r="F893" s="26"/>
      <c r="G893" s="26"/>
      <c r="H893" s="24"/>
      <c r="I893" s="24"/>
      <c r="J893" s="24"/>
      <c r="K893" s="5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6"/>
      <c r="B894" s="26"/>
      <c r="C894" s="24"/>
      <c r="D894" s="26"/>
      <c r="E894" s="26"/>
      <c r="F894" s="26"/>
      <c r="G894" s="26"/>
      <c r="H894" s="24"/>
      <c r="I894" s="24"/>
      <c r="J894" s="24"/>
      <c r="K894" s="5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6"/>
      <c r="B895" s="26"/>
      <c r="C895" s="24"/>
      <c r="D895" s="26"/>
      <c r="E895" s="26"/>
      <c r="F895" s="26"/>
      <c r="G895" s="26"/>
      <c r="H895" s="24"/>
      <c r="I895" s="24"/>
      <c r="J895" s="24"/>
      <c r="K895" s="5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6"/>
      <c r="B896" s="26"/>
      <c r="C896" s="24"/>
      <c r="D896" s="26"/>
      <c r="E896" s="26"/>
      <c r="F896" s="26"/>
      <c r="G896" s="26"/>
      <c r="H896" s="24"/>
      <c r="I896" s="24"/>
      <c r="J896" s="24"/>
      <c r="K896" s="5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6"/>
      <c r="B897" s="26"/>
      <c r="C897" s="24"/>
      <c r="D897" s="26"/>
      <c r="E897" s="26"/>
      <c r="F897" s="26"/>
      <c r="G897" s="26"/>
      <c r="H897" s="24"/>
      <c r="I897" s="24"/>
      <c r="J897" s="24"/>
      <c r="K897" s="5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6"/>
      <c r="B898" s="26"/>
      <c r="C898" s="24"/>
      <c r="D898" s="26"/>
      <c r="E898" s="26"/>
      <c r="F898" s="26"/>
      <c r="G898" s="26"/>
      <c r="H898" s="24"/>
      <c r="I898" s="24"/>
      <c r="J898" s="24"/>
      <c r="K898" s="5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6"/>
      <c r="B899" s="26"/>
      <c r="C899" s="24"/>
      <c r="D899" s="26"/>
      <c r="E899" s="26"/>
      <c r="F899" s="26"/>
      <c r="G899" s="26"/>
      <c r="H899" s="24"/>
      <c r="I899" s="24"/>
      <c r="J899" s="24"/>
      <c r="K899" s="5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6"/>
      <c r="B900" s="26"/>
      <c r="C900" s="24"/>
      <c r="D900" s="26"/>
      <c r="E900" s="26"/>
      <c r="F900" s="26"/>
      <c r="G900" s="26"/>
      <c r="H900" s="24"/>
      <c r="I900" s="24"/>
      <c r="J900" s="24"/>
      <c r="K900" s="5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6"/>
      <c r="B901" s="26"/>
      <c r="C901" s="24"/>
      <c r="D901" s="26"/>
      <c r="E901" s="26"/>
      <c r="F901" s="26"/>
      <c r="G901" s="26"/>
      <c r="H901" s="24"/>
      <c r="I901" s="24"/>
      <c r="J901" s="24"/>
      <c r="K901" s="5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6"/>
      <c r="B902" s="26"/>
      <c r="C902" s="24"/>
      <c r="D902" s="26"/>
      <c r="E902" s="26"/>
      <c r="F902" s="26"/>
      <c r="G902" s="26"/>
      <c r="H902" s="24"/>
      <c r="I902" s="24"/>
      <c r="J902" s="24"/>
      <c r="K902" s="5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6"/>
      <c r="B903" s="26"/>
      <c r="C903" s="24"/>
      <c r="D903" s="26"/>
      <c r="E903" s="26"/>
      <c r="F903" s="26"/>
      <c r="G903" s="26"/>
      <c r="H903" s="24"/>
      <c r="I903" s="24"/>
      <c r="J903" s="24"/>
      <c r="K903" s="5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6"/>
      <c r="B904" s="26"/>
      <c r="C904" s="24"/>
      <c r="D904" s="26"/>
      <c r="E904" s="26"/>
      <c r="F904" s="26"/>
      <c r="G904" s="26"/>
      <c r="H904" s="24"/>
      <c r="I904" s="24"/>
      <c r="J904" s="24"/>
      <c r="K904" s="5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6"/>
      <c r="B905" s="26"/>
      <c r="C905" s="24"/>
      <c r="D905" s="26"/>
      <c r="E905" s="26"/>
      <c r="F905" s="26"/>
      <c r="G905" s="26"/>
      <c r="H905" s="24"/>
      <c r="I905" s="24"/>
      <c r="J905" s="24"/>
      <c r="K905" s="5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6"/>
      <c r="B906" s="26"/>
      <c r="C906" s="24"/>
      <c r="D906" s="26"/>
      <c r="E906" s="26"/>
      <c r="F906" s="26"/>
      <c r="G906" s="26"/>
      <c r="H906" s="24"/>
      <c r="I906" s="24"/>
      <c r="J906" s="24"/>
      <c r="K906" s="5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6"/>
      <c r="B907" s="26"/>
      <c r="C907" s="24"/>
      <c r="D907" s="26"/>
      <c r="E907" s="26"/>
      <c r="F907" s="26"/>
      <c r="G907" s="26"/>
      <c r="H907" s="24"/>
      <c r="I907" s="24"/>
      <c r="J907" s="24"/>
      <c r="K907" s="5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6"/>
      <c r="B908" s="26"/>
      <c r="C908" s="24"/>
      <c r="D908" s="26"/>
      <c r="E908" s="26"/>
      <c r="F908" s="26"/>
      <c r="G908" s="26"/>
      <c r="H908" s="24"/>
      <c r="I908" s="24"/>
      <c r="J908" s="24"/>
      <c r="K908" s="5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6"/>
      <c r="B909" s="26"/>
      <c r="C909" s="24"/>
      <c r="D909" s="26"/>
      <c r="E909" s="26"/>
      <c r="F909" s="26"/>
      <c r="G909" s="26"/>
      <c r="H909" s="24"/>
      <c r="I909" s="24"/>
      <c r="J909" s="24"/>
      <c r="K909" s="5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6"/>
      <c r="B910" s="26"/>
      <c r="C910" s="24"/>
      <c r="D910" s="26"/>
      <c r="E910" s="26"/>
      <c r="F910" s="26"/>
      <c r="G910" s="26"/>
      <c r="H910" s="24"/>
      <c r="I910" s="24"/>
      <c r="J910" s="24"/>
      <c r="K910" s="5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6"/>
      <c r="B911" s="26"/>
      <c r="C911" s="24"/>
      <c r="D911" s="26"/>
      <c r="E911" s="26"/>
      <c r="F911" s="26"/>
      <c r="G911" s="26"/>
      <c r="H911" s="24"/>
      <c r="I911" s="24"/>
      <c r="J911" s="24"/>
      <c r="K911" s="5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6"/>
      <c r="B912" s="26"/>
      <c r="C912" s="24"/>
      <c r="D912" s="26"/>
      <c r="E912" s="26"/>
      <c r="F912" s="26"/>
      <c r="G912" s="26"/>
      <c r="H912" s="24"/>
      <c r="I912" s="24"/>
      <c r="J912" s="24"/>
      <c r="K912" s="5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6"/>
      <c r="B913" s="26"/>
      <c r="C913" s="24"/>
      <c r="D913" s="26"/>
      <c r="E913" s="26"/>
      <c r="F913" s="26"/>
      <c r="G913" s="26"/>
      <c r="H913" s="24"/>
      <c r="I913" s="24"/>
      <c r="J913" s="24"/>
      <c r="K913" s="5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6"/>
      <c r="B914" s="26"/>
      <c r="C914" s="24"/>
      <c r="D914" s="26"/>
      <c r="E914" s="26"/>
      <c r="F914" s="26"/>
      <c r="G914" s="26"/>
      <c r="H914" s="24"/>
      <c r="I914" s="24"/>
      <c r="J914" s="24"/>
      <c r="K914" s="5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6"/>
      <c r="B915" s="26"/>
      <c r="C915" s="24"/>
      <c r="D915" s="26"/>
      <c r="E915" s="26"/>
      <c r="F915" s="26"/>
      <c r="G915" s="26"/>
      <c r="H915" s="24"/>
      <c r="I915" s="24"/>
      <c r="J915" s="24"/>
      <c r="K915" s="5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6"/>
      <c r="B916" s="26"/>
      <c r="C916" s="24"/>
      <c r="D916" s="26"/>
      <c r="E916" s="26"/>
      <c r="F916" s="26"/>
      <c r="G916" s="26"/>
      <c r="H916" s="24"/>
      <c r="I916" s="24"/>
      <c r="J916" s="24"/>
      <c r="K916" s="5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6"/>
      <c r="B917" s="26"/>
      <c r="C917" s="24"/>
      <c r="D917" s="26"/>
      <c r="E917" s="26"/>
      <c r="F917" s="26"/>
      <c r="G917" s="26"/>
      <c r="H917" s="24"/>
      <c r="I917" s="24"/>
      <c r="J917" s="24"/>
      <c r="K917" s="5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6"/>
      <c r="B918" s="26"/>
      <c r="C918" s="24"/>
      <c r="D918" s="26"/>
      <c r="E918" s="26"/>
      <c r="F918" s="26"/>
      <c r="G918" s="26"/>
      <c r="H918" s="24"/>
      <c r="I918" s="24"/>
      <c r="J918" s="24"/>
      <c r="K918" s="5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6"/>
      <c r="B919" s="26"/>
      <c r="C919" s="24"/>
      <c r="D919" s="26"/>
      <c r="E919" s="26"/>
      <c r="F919" s="26"/>
      <c r="G919" s="26"/>
      <c r="H919" s="24"/>
      <c r="I919" s="24"/>
      <c r="J919" s="24"/>
      <c r="K919" s="5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6"/>
      <c r="B920" s="26"/>
      <c r="C920" s="24"/>
      <c r="D920" s="26"/>
      <c r="E920" s="26"/>
      <c r="F920" s="26"/>
      <c r="G920" s="26"/>
      <c r="H920" s="24"/>
      <c r="I920" s="24"/>
      <c r="J920" s="24"/>
      <c r="K920" s="5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6"/>
      <c r="B921" s="26"/>
      <c r="C921" s="24"/>
      <c r="D921" s="26"/>
      <c r="E921" s="26"/>
      <c r="F921" s="26"/>
      <c r="G921" s="26"/>
      <c r="H921" s="24"/>
      <c r="I921" s="24"/>
      <c r="J921" s="24"/>
      <c r="K921" s="5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6"/>
      <c r="B922" s="26"/>
      <c r="C922" s="24"/>
      <c r="D922" s="26"/>
      <c r="E922" s="26"/>
      <c r="F922" s="26"/>
      <c r="G922" s="26"/>
      <c r="H922" s="24"/>
      <c r="I922" s="24"/>
      <c r="J922" s="24"/>
      <c r="K922" s="5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6"/>
      <c r="B923" s="26"/>
      <c r="C923" s="24"/>
      <c r="D923" s="26"/>
      <c r="E923" s="26"/>
      <c r="F923" s="26"/>
      <c r="G923" s="26"/>
      <c r="H923" s="24"/>
      <c r="I923" s="24"/>
      <c r="J923" s="24"/>
      <c r="K923" s="5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6"/>
      <c r="B924" s="26"/>
      <c r="C924" s="24"/>
      <c r="D924" s="26"/>
      <c r="E924" s="26"/>
      <c r="F924" s="26"/>
      <c r="G924" s="26"/>
      <c r="H924" s="24"/>
      <c r="I924" s="24"/>
      <c r="J924" s="24"/>
      <c r="K924" s="5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6"/>
      <c r="B925" s="26"/>
      <c r="C925" s="24"/>
      <c r="D925" s="26"/>
      <c r="E925" s="26"/>
      <c r="F925" s="26"/>
      <c r="G925" s="26"/>
      <c r="H925" s="24"/>
      <c r="I925" s="24"/>
      <c r="J925" s="24"/>
      <c r="K925" s="5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6"/>
      <c r="B926" s="26"/>
      <c r="C926" s="24"/>
      <c r="D926" s="26"/>
      <c r="E926" s="26"/>
      <c r="F926" s="26"/>
      <c r="G926" s="26"/>
      <c r="H926" s="24"/>
      <c r="I926" s="24"/>
      <c r="J926" s="24"/>
      <c r="K926" s="5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6"/>
      <c r="B927" s="26"/>
      <c r="C927" s="24"/>
      <c r="D927" s="26"/>
      <c r="E927" s="26"/>
      <c r="F927" s="26"/>
      <c r="G927" s="26"/>
      <c r="H927" s="24"/>
      <c r="I927" s="24"/>
      <c r="J927" s="24"/>
      <c r="K927" s="5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6"/>
      <c r="B928" s="26"/>
      <c r="C928" s="24"/>
      <c r="D928" s="26"/>
      <c r="E928" s="26"/>
      <c r="F928" s="26"/>
      <c r="G928" s="26"/>
      <c r="H928" s="24"/>
      <c r="I928" s="24"/>
      <c r="J928" s="24"/>
      <c r="K928" s="5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6"/>
      <c r="B929" s="26"/>
      <c r="C929" s="24"/>
      <c r="D929" s="26"/>
      <c r="E929" s="26"/>
      <c r="F929" s="26"/>
      <c r="G929" s="26"/>
      <c r="H929" s="24"/>
      <c r="I929" s="24"/>
      <c r="J929" s="24"/>
      <c r="K929" s="5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6"/>
      <c r="B930" s="26"/>
      <c r="C930" s="24"/>
      <c r="D930" s="26"/>
      <c r="E930" s="26"/>
      <c r="F930" s="26"/>
      <c r="G930" s="26"/>
      <c r="H930" s="24"/>
      <c r="I930" s="24"/>
      <c r="J930" s="24"/>
      <c r="K930" s="5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6"/>
      <c r="B931" s="26"/>
      <c r="C931" s="24"/>
      <c r="D931" s="26"/>
      <c r="E931" s="26"/>
      <c r="F931" s="26"/>
      <c r="G931" s="26"/>
      <c r="H931" s="24"/>
      <c r="I931" s="24"/>
      <c r="J931" s="24"/>
      <c r="K931" s="5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6"/>
      <c r="B932" s="26"/>
      <c r="C932" s="24"/>
      <c r="D932" s="26"/>
      <c r="E932" s="26"/>
      <c r="F932" s="26"/>
      <c r="G932" s="26"/>
      <c r="H932" s="24"/>
      <c r="I932" s="24"/>
      <c r="J932" s="24"/>
      <c r="K932" s="5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6"/>
      <c r="B933" s="26"/>
      <c r="C933" s="24"/>
      <c r="D933" s="26"/>
      <c r="E933" s="26"/>
      <c r="F933" s="26"/>
      <c r="G933" s="26"/>
      <c r="H933" s="24"/>
      <c r="I933" s="24"/>
      <c r="J933" s="24"/>
      <c r="K933" s="5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6"/>
      <c r="B934" s="26"/>
      <c r="C934" s="24"/>
      <c r="D934" s="26"/>
      <c r="E934" s="26"/>
      <c r="F934" s="26"/>
      <c r="G934" s="26"/>
      <c r="H934" s="24"/>
      <c r="I934" s="24"/>
      <c r="J934" s="24"/>
      <c r="K934" s="5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6"/>
      <c r="B935" s="26"/>
      <c r="C935" s="24"/>
      <c r="D935" s="26"/>
      <c r="E935" s="26"/>
      <c r="F935" s="26"/>
      <c r="G935" s="26"/>
      <c r="H935" s="24"/>
      <c r="I935" s="24"/>
      <c r="J935" s="24"/>
      <c r="K935" s="5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6"/>
      <c r="B936" s="26"/>
      <c r="C936" s="24"/>
      <c r="D936" s="26"/>
      <c r="E936" s="26"/>
      <c r="F936" s="26"/>
      <c r="G936" s="26"/>
      <c r="H936" s="24"/>
      <c r="I936" s="24"/>
      <c r="J936" s="24"/>
      <c r="K936" s="5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6"/>
      <c r="B937" s="26"/>
      <c r="C937" s="24"/>
      <c r="D937" s="26"/>
      <c r="E937" s="26"/>
      <c r="F937" s="26"/>
      <c r="G937" s="26"/>
      <c r="H937" s="24"/>
      <c r="I937" s="24"/>
      <c r="J937" s="24"/>
      <c r="K937" s="5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6"/>
      <c r="B938" s="26"/>
      <c r="C938" s="24"/>
      <c r="D938" s="26"/>
      <c r="E938" s="26"/>
      <c r="F938" s="26"/>
      <c r="G938" s="26"/>
      <c r="H938" s="24"/>
      <c r="I938" s="24"/>
      <c r="J938" s="24"/>
      <c r="K938" s="5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6"/>
      <c r="B939" s="26"/>
      <c r="C939" s="24"/>
      <c r="D939" s="26"/>
      <c r="E939" s="26"/>
      <c r="F939" s="26"/>
      <c r="G939" s="26"/>
      <c r="H939" s="24"/>
      <c r="I939" s="24"/>
      <c r="J939" s="24"/>
      <c r="K939" s="5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6"/>
      <c r="B940" s="26"/>
      <c r="C940" s="24"/>
      <c r="D940" s="26"/>
      <c r="E940" s="26"/>
      <c r="F940" s="26"/>
      <c r="G940" s="26"/>
      <c r="H940" s="24"/>
      <c r="I940" s="24"/>
      <c r="J940" s="24"/>
      <c r="K940" s="5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6"/>
      <c r="B941" s="26"/>
      <c r="C941" s="24"/>
      <c r="D941" s="26"/>
      <c r="E941" s="26"/>
      <c r="F941" s="26"/>
      <c r="G941" s="26"/>
      <c r="H941" s="24"/>
      <c r="I941" s="24"/>
      <c r="J941" s="24"/>
      <c r="K941" s="5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6"/>
      <c r="B942" s="26"/>
      <c r="C942" s="24"/>
      <c r="D942" s="26"/>
      <c r="E942" s="26"/>
      <c r="F942" s="26"/>
      <c r="G942" s="26"/>
      <c r="H942" s="24"/>
      <c r="I942" s="24"/>
      <c r="J942" s="24"/>
      <c r="K942" s="5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6"/>
      <c r="B943" s="26"/>
      <c r="C943" s="24"/>
      <c r="D943" s="26"/>
      <c r="E943" s="26"/>
      <c r="F943" s="26"/>
      <c r="G943" s="26"/>
      <c r="H943" s="24"/>
      <c r="I943" s="24"/>
      <c r="J943" s="24"/>
      <c r="K943" s="5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6"/>
      <c r="B944" s="26"/>
      <c r="C944" s="24"/>
      <c r="D944" s="26"/>
      <c r="E944" s="26"/>
      <c r="F944" s="26"/>
      <c r="G944" s="26"/>
      <c r="H944" s="24"/>
      <c r="I944" s="24"/>
      <c r="J944" s="24"/>
      <c r="K944" s="5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6"/>
      <c r="B945" s="26"/>
      <c r="C945" s="24"/>
      <c r="D945" s="26"/>
      <c r="E945" s="26"/>
      <c r="F945" s="26"/>
      <c r="G945" s="26"/>
      <c r="H945" s="24"/>
      <c r="I945" s="24"/>
      <c r="J945" s="24"/>
      <c r="K945" s="5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6"/>
      <c r="B946" s="26"/>
      <c r="C946" s="24"/>
      <c r="D946" s="26"/>
      <c r="E946" s="26"/>
      <c r="F946" s="26"/>
      <c r="G946" s="26"/>
      <c r="H946" s="24"/>
      <c r="I946" s="24"/>
      <c r="J946" s="24"/>
      <c r="K946" s="5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6"/>
      <c r="B947" s="26"/>
      <c r="C947" s="24"/>
      <c r="D947" s="26"/>
      <c r="E947" s="26"/>
      <c r="F947" s="26"/>
      <c r="G947" s="26"/>
      <c r="H947" s="24"/>
      <c r="I947" s="24"/>
      <c r="J947" s="24"/>
      <c r="K947" s="5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6"/>
      <c r="B948" s="26"/>
      <c r="C948" s="24"/>
      <c r="D948" s="26"/>
      <c r="E948" s="26"/>
      <c r="F948" s="26"/>
      <c r="G948" s="26"/>
      <c r="H948" s="24"/>
      <c r="I948" s="24"/>
      <c r="J948" s="24"/>
      <c r="K948" s="5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6"/>
      <c r="B949" s="26"/>
      <c r="C949" s="24"/>
      <c r="D949" s="26"/>
      <c r="E949" s="26"/>
      <c r="F949" s="26"/>
      <c r="G949" s="26"/>
      <c r="H949" s="24"/>
      <c r="I949" s="24"/>
      <c r="J949" s="24"/>
      <c r="K949" s="5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6"/>
      <c r="B950" s="26"/>
      <c r="C950" s="24"/>
      <c r="D950" s="26"/>
      <c r="E950" s="26"/>
      <c r="F950" s="26"/>
      <c r="G950" s="26"/>
      <c r="H950" s="24"/>
      <c r="I950" s="24"/>
      <c r="J950" s="24"/>
      <c r="K950" s="5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6"/>
      <c r="B951" s="26"/>
      <c r="C951" s="24"/>
      <c r="D951" s="26"/>
      <c r="E951" s="26"/>
      <c r="F951" s="26"/>
      <c r="G951" s="26"/>
      <c r="H951" s="24"/>
      <c r="I951" s="24"/>
      <c r="J951" s="24"/>
      <c r="K951" s="5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6"/>
      <c r="B952" s="26"/>
      <c r="C952" s="24"/>
      <c r="D952" s="26"/>
      <c r="E952" s="26"/>
      <c r="F952" s="26"/>
      <c r="G952" s="26"/>
      <c r="H952" s="24"/>
      <c r="I952" s="24"/>
      <c r="J952" s="24"/>
      <c r="K952" s="5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6"/>
      <c r="B953" s="26"/>
      <c r="C953" s="24"/>
      <c r="D953" s="26"/>
      <c r="E953" s="26"/>
      <c r="F953" s="26"/>
      <c r="G953" s="26"/>
      <c r="H953" s="24"/>
      <c r="I953" s="24"/>
      <c r="J953" s="24"/>
      <c r="K953" s="5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6"/>
      <c r="B954" s="26"/>
      <c r="C954" s="24"/>
      <c r="D954" s="26"/>
      <c r="E954" s="26"/>
      <c r="F954" s="26"/>
      <c r="G954" s="26"/>
      <c r="H954" s="24"/>
      <c r="I954" s="24"/>
      <c r="J954" s="24"/>
      <c r="K954" s="5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6"/>
      <c r="B955" s="26"/>
      <c r="C955" s="24"/>
      <c r="D955" s="26"/>
      <c r="E955" s="26"/>
      <c r="F955" s="26"/>
      <c r="G955" s="26"/>
      <c r="H955" s="24"/>
      <c r="I955" s="24"/>
      <c r="J955" s="24"/>
      <c r="K955" s="5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6"/>
      <c r="B956" s="26"/>
      <c r="C956" s="24"/>
      <c r="D956" s="26"/>
      <c r="E956" s="26"/>
      <c r="F956" s="26"/>
      <c r="G956" s="26"/>
      <c r="H956" s="24"/>
      <c r="I956" s="24"/>
      <c r="J956" s="24"/>
      <c r="K956" s="5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6"/>
      <c r="B957" s="26"/>
      <c r="C957" s="24"/>
      <c r="D957" s="26"/>
      <c r="E957" s="26"/>
      <c r="F957" s="26"/>
      <c r="G957" s="26"/>
      <c r="H957" s="24"/>
      <c r="I957" s="24"/>
      <c r="J957" s="24"/>
      <c r="K957" s="5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6"/>
      <c r="B958" s="26"/>
      <c r="C958" s="24"/>
      <c r="D958" s="26"/>
      <c r="E958" s="26"/>
      <c r="F958" s="26"/>
      <c r="G958" s="26"/>
      <c r="H958" s="24"/>
      <c r="I958" s="24"/>
      <c r="J958" s="24"/>
      <c r="K958" s="5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6"/>
      <c r="B959" s="26"/>
      <c r="C959" s="24"/>
      <c r="D959" s="26"/>
      <c r="E959" s="26"/>
      <c r="F959" s="26"/>
      <c r="G959" s="26"/>
      <c r="H959" s="24"/>
      <c r="I959" s="24"/>
      <c r="J959" s="24"/>
      <c r="K959" s="5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6"/>
      <c r="B960" s="26"/>
      <c r="C960" s="24"/>
      <c r="D960" s="26"/>
      <c r="E960" s="26"/>
      <c r="F960" s="26"/>
      <c r="G960" s="26"/>
      <c r="H960" s="24"/>
      <c r="I960" s="24"/>
      <c r="J960" s="24"/>
      <c r="K960" s="5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6"/>
      <c r="B961" s="26"/>
      <c r="C961" s="24"/>
      <c r="D961" s="26"/>
      <c r="E961" s="26"/>
      <c r="F961" s="26"/>
      <c r="G961" s="26"/>
      <c r="H961" s="24"/>
      <c r="I961" s="24"/>
      <c r="J961" s="24"/>
      <c r="K961" s="5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6"/>
      <c r="B962" s="26"/>
      <c r="C962" s="24"/>
      <c r="D962" s="26"/>
      <c r="E962" s="26"/>
      <c r="F962" s="26"/>
      <c r="G962" s="26"/>
      <c r="H962" s="24"/>
      <c r="I962" s="24"/>
      <c r="J962" s="24"/>
      <c r="K962" s="5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6"/>
      <c r="B963" s="26"/>
      <c r="C963" s="24"/>
      <c r="D963" s="26"/>
      <c r="E963" s="26"/>
      <c r="F963" s="26"/>
      <c r="G963" s="26"/>
      <c r="H963" s="24"/>
      <c r="I963" s="24"/>
      <c r="J963" s="24"/>
      <c r="K963" s="5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6"/>
      <c r="B964" s="26"/>
      <c r="C964" s="24"/>
      <c r="D964" s="26"/>
      <c r="E964" s="26"/>
      <c r="F964" s="26"/>
      <c r="G964" s="26"/>
      <c r="H964" s="24"/>
      <c r="I964" s="24"/>
      <c r="J964" s="24"/>
      <c r="K964" s="5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6"/>
      <c r="B965" s="26"/>
      <c r="C965" s="24"/>
      <c r="D965" s="26"/>
      <c r="E965" s="26"/>
      <c r="F965" s="26"/>
      <c r="G965" s="26"/>
      <c r="H965" s="24"/>
      <c r="I965" s="24"/>
      <c r="J965" s="24"/>
      <c r="K965" s="5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6"/>
      <c r="B966" s="26"/>
      <c r="C966" s="24"/>
      <c r="D966" s="26"/>
      <c r="E966" s="26"/>
      <c r="F966" s="26"/>
      <c r="G966" s="26"/>
      <c r="H966" s="24"/>
      <c r="I966" s="24"/>
      <c r="J966" s="24"/>
      <c r="K966" s="5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6"/>
      <c r="B967" s="26"/>
      <c r="C967" s="24"/>
      <c r="D967" s="26"/>
      <c r="E967" s="26"/>
      <c r="F967" s="26"/>
      <c r="G967" s="26"/>
      <c r="H967" s="24"/>
      <c r="I967" s="24"/>
      <c r="J967" s="24"/>
      <c r="K967" s="5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6"/>
      <c r="B968" s="26"/>
      <c r="C968" s="24"/>
      <c r="D968" s="26"/>
      <c r="E968" s="26"/>
      <c r="F968" s="26"/>
      <c r="G968" s="26"/>
      <c r="H968" s="24"/>
      <c r="I968" s="24"/>
      <c r="J968" s="24"/>
      <c r="K968" s="5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6"/>
      <c r="B969" s="26"/>
      <c r="C969" s="24"/>
      <c r="D969" s="26"/>
      <c r="E969" s="26"/>
      <c r="F969" s="26"/>
      <c r="G969" s="26"/>
      <c r="H969" s="24"/>
      <c r="I969" s="24"/>
      <c r="J969" s="24"/>
      <c r="K969" s="5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6"/>
      <c r="B970" s="26"/>
      <c r="C970" s="24"/>
      <c r="D970" s="26"/>
      <c r="E970" s="26"/>
      <c r="F970" s="26"/>
      <c r="G970" s="26"/>
      <c r="H970" s="24"/>
      <c r="I970" s="24"/>
      <c r="J970" s="24"/>
      <c r="K970" s="5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6"/>
      <c r="B971" s="26"/>
      <c r="C971" s="24"/>
      <c r="D971" s="26"/>
      <c r="E971" s="26"/>
      <c r="F971" s="26"/>
      <c r="G971" s="26"/>
      <c r="H971" s="24"/>
      <c r="I971" s="24"/>
      <c r="J971" s="24"/>
      <c r="K971" s="5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6"/>
      <c r="B972" s="26"/>
      <c r="C972" s="24"/>
      <c r="D972" s="26"/>
      <c r="E972" s="26"/>
      <c r="F972" s="26"/>
      <c r="G972" s="26"/>
      <c r="H972" s="24"/>
      <c r="I972" s="24"/>
      <c r="J972" s="24"/>
      <c r="K972" s="5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6"/>
      <c r="B973" s="26"/>
      <c r="C973" s="24"/>
      <c r="D973" s="26"/>
      <c r="E973" s="26"/>
      <c r="F973" s="26"/>
      <c r="G973" s="26"/>
      <c r="H973" s="24"/>
      <c r="I973" s="24"/>
      <c r="J973" s="24"/>
      <c r="K973" s="5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6"/>
      <c r="B974" s="26"/>
      <c r="C974" s="24"/>
      <c r="D974" s="26"/>
      <c r="E974" s="26"/>
      <c r="F974" s="26"/>
      <c r="G974" s="26"/>
      <c r="H974" s="24"/>
      <c r="I974" s="24"/>
      <c r="J974" s="24"/>
      <c r="K974" s="5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6"/>
      <c r="B975" s="26"/>
      <c r="C975" s="24"/>
      <c r="D975" s="26"/>
      <c r="E975" s="26"/>
      <c r="F975" s="26"/>
      <c r="G975" s="26"/>
      <c r="H975" s="24"/>
      <c r="I975" s="24"/>
      <c r="J975" s="24"/>
      <c r="K975" s="5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6"/>
      <c r="B976" s="26"/>
      <c r="C976" s="24"/>
      <c r="D976" s="26"/>
      <c r="E976" s="26"/>
      <c r="F976" s="26"/>
      <c r="G976" s="26"/>
      <c r="H976" s="24"/>
      <c r="I976" s="24"/>
      <c r="J976" s="24"/>
      <c r="K976" s="5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6"/>
      <c r="B977" s="26"/>
      <c r="C977" s="24"/>
      <c r="D977" s="26"/>
      <c r="E977" s="26"/>
      <c r="F977" s="26"/>
      <c r="G977" s="26"/>
      <c r="H977" s="24"/>
      <c r="I977" s="24"/>
      <c r="J977" s="24"/>
      <c r="K977" s="5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6"/>
      <c r="B978" s="26"/>
      <c r="C978" s="24"/>
      <c r="D978" s="26"/>
      <c r="E978" s="26"/>
      <c r="F978" s="26"/>
      <c r="G978" s="26"/>
      <c r="H978" s="24"/>
      <c r="I978" s="24"/>
      <c r="J978" s="24"/>
      <c r="K978" s="5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6"/>
      <c r="B979" s="26"/>
      <c r="C979" s="24"/>
      <c r="D979" s="26"/>
      <c r="E979" s="26"/>
      <c r="F979" s="26"/>
      <c r="G979" s="26"/>
      <c r="H979" s="24"/>
      <c r="I979" s="24"/>
      <c r="J979" s="24"/>
      <c r="K979" s="5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6"/>
      <c r="B980" s="26"/>
      <c r="C980" s="24"/>
      <c r="D980" s="26"/>
      <c r="E980" s="26"/>
      <c r="F980" s="26"/>
      <c r="G980" s="26"/>
      <c r="H980" s="24"/>
      <c r="I980" s="24"/>
      <c r="J980" s="24"/>
      <c r="K980" s="5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6"/>
      <c r="B981" s="26"/>
      <c r="C981" s="24"/>
      <c r="D981" s="26"/>
      <c r="E981" s="26"/>
      <c r="F981" s="26"/>
      <c r="G981" s="26"/>
      <c r="H981" s="24"/>
      <c r="I981" s="24"/>
      <c r="J981" s="24"/>
      <c r="K981" s="5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6"/>
      <c r="B982" s="26"/>
      <c r="C982" s="24"/>
      <c r="D982" s="26"/>
      <c r="E982" s="26"/>
      <c r="F982" s="26"/>
      <c r="G982" s="26"/>
      <c r="H982" s="24"/>
      <c r="I982" s="24"/>
      <c r="J982" s="24"/>
      <c r="K982" s="5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6"/>
      <c r="B983" s="26"/>
      <c r="C983" s="24"/>
      <c r="D983" s="26"/>
      <c r="E983" s="26"/>
      <c r="F983" s="26"/>
      <c r="G983" s="26"/>
      <c r="H983" s="24"/>
      <c r="I983" s="24"/>
      <c r="J983" s="24"/>
      <c r="K983" s="5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6"/>
      <c r="B984" s="26"/>
      <c r="C984" s="24"/>
      <c r="D984" s="26"/>
      <c r="E984" s="26"/>
      <c r="F984" s="26"/>
      <c r="G984" s="26"/>
      <c r="H984" s="24"/>
      <c r="I984" s="24"/>
      <c r="J984" s="24"/>
      <c r="K984" s="5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A985" s="26"/>
      <c r="B985" s="26"/>
      <c r="C985" s="24"/>
      <c r="D985" s="26"/>
      <c r="E985" s="26"/>
      <c r="F985" s="26"/>
      <c r="G985" s="26"/>
      <c r="H985" s="24"/>
      <c r="I985" s="24"/>
      <c r="J985" s="24"/>
      <c r="K985" s="5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A986" s="26"/>
      <c r="B986" s="26"/>
      <c r="C986" s="24"/>
      <c r="D986" s="26"/>
      <c r="E986" s="26"/>
      <c r="F986" s="26"/>
      <c r="G986" s="26"/>
      <c r="H986" s="24"/>
      <c r="I986" s="24"/>
      <c r="J986" s="24"/>
      <c r="K986" s="5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A987" s="26"/>
      <c r="B987" s="26"/>
      <c r="C987" s="24"/>
      <c r="D987" s="26"/>
      <c r="E987" s="26"/>
      <c r="F987" s="26"/>
      <c r="G987" s="26"/>
      <c r="H987" s="24"/>
      <c r="I987" s="24"/>
      <c r="J987" s="24"/>
      <c r="K987" s="5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A988" s="26"/>
      <c r="B988" s="26"/>
      <c r="C988" s="24"/>
      <c r="D988" s="26"/>
      <c r="E988" s="26"/>
      <c r="F988" s="26"/>
      <c r="G988" s="26"/>
      <c r="H988" s="24"/>
      <c r="I988" s="24"/>
      <c r="J988" s="24"/>
      <c r="K988" s="5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A989" s="26"/>
      <c r="B989" s="26"/>
      <c r="C989" s="24"/>
      <c r="D989" s="26"/>
      <c r="E989" s="26"/>
      <c r="F989" s="26"/>
      <c r="G989" s="26"/>
      <c r="H989" s="24"/>
      <c r="I989" s="24"/>
      <c r="J989" s="24"/>
      <c r="K989" s="5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A990" s="26"/>
      <c r="B990" s="26"/>
      <c r="C990" s="24"/>
      <c r="D990" s="26"/>
      <c r="E990" s="26"/>
      <c r="F990" s="26"/>
      <c r="G990" s="26"/>
      <c r="H990" s="24"/>
      <c r="I990" s="24"/>
      <c r="J990" s="24"/>
      <c r="K990" s="5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A991" s="26"/>
      <c r="B991" s="26"/>
      <c r="C991" s="24"/>
      <c r="D991" s="26"/>
      <c r="E991" s="26"/>
      <c r="F991" s="26"/>
      <c r="G991" s="26"/>
      <c r="H991" s="24"/>
      <c r="I991" s="24"/>
      <c r="J991" s="24"/>
      <c r="K991" s="5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A992" s="26"/>
      <c r="B992" s="26"/>
      <c r="C992" s="24"/>
      <c r="D992" s="26"/>
      <c r="E992" s="26"/>
      <c r="F992" s="26"/>
      <c r="G992" s="26"/>
      <c r="H992" s="24"/>
      <c r="I992" s="24"/>
      <c r="J992" s="24"/>
      <c r="K992" s="5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A993" s="26"/>
      <c r="B993" s="26"/>
      <c r="C993" s="24"/>
      <c r="D993" s="26"/>
      <c r="E993" s="26"/>
      <c r="F993" s="26"/>
      <c r="G993" s="26"/>
      <c r="H993" s="24"/>
      <c r="I993" s="24"/>
      <c r="J993" s="24"/>
      <c r="K993" s="5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A994" s="26"/>
      <c r="B994" s="26"/>
      <c r="C994" s="24"/>
      <c r="D994" s="26"/>
      <c r="E994" s="26"/>
      <c r="F994" s="26"/>
      <c r="G994" s="26"/>
      <c r="H994" s="24"/>
      <c r="I994" s="24"/>
      <c r="J994" s="24"/>
      <c r="K994" s="5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>
      <c r="A995" s="26"/>
      <c r="B995" s="26"/>
      <c r="C995" s="24"/>
      <c r="D995" s="26"/>
      <c r="E995" s="26"/>
      <c r="F995" s="26"/>
      <c r="G995" s="26"/>
      <c r="H995" s="24"/>
      <c r="I995" s="24"/>
      <c r="J995" s="24"/>
      <c r="K995" s="5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>
      <c r="A996" s="26"/>
      <c r="B996" s="26"/>
      <c r="C996" s="24"/>
      <c r="D996" s="26"/>
      <c r="E996" s="26"/>
      <c r="F996" s="26"/>
      <c r="G996" s="26"/>
      <c r="H996" s="24"/>
      <c r="I996" s="24"/>
      <c r="J996" s="24"/>
      <c r="K996" s="5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>
      <c r="A997" s="26"/>
      <c r="B997" s="26"/>
      <c r="C997" s="24"/>
      <c r="D997" s="26"/>
      <c r="E997" s="26"/>
      <c r="F997" s="26"/>
      <c r="G997" s="26"/>
      <c r="H997" s="24"/>
      <c r="I997" s="24"/>
      <c r="J997" s="24"/>
      <c r="K997" s="5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>
      <c r="A998" s="26"/>
      <c r="B998" s="26"/>
      <c r="C998" s="24"/>
      <c r="D998" s="26"/>
      <c r="E998" s="26"/>
      <c r="F998" s="26"/>
      <c r="G998" s="26"/>
      <c r="H998" s="24"/>
      <c r="I998" s="24"/>
      <c r="J998" s="24"/>
      <c r="K998" s="5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>
      <c r="A999" s="26"/>
      <c r="B999" s="26"/>
      <c r="C999" s="24"/>
      <c r="D999" s="26"/>
      <c r="E999" s="26"/>
      <c r="F999" s="26"/>
      <c r="G999" s="26"/>
      <c r="H999" s="24"/>
      <c r="I999" s="24"/>
      <c r="J999" s="24"/>
      <c r="K999" s="5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>
      <c r="A1000" s="26"/>
      <c r="B1000" s="26"/>
      <c r="C1000" s="24"/>
      <c r="D1000" s="26"/>
      <c r="E1000" s="26"/>
      <c r="F1000" s="26"/>
      <c r="G1000" s="26"/>
      <c r="H1000" s="24"/>
      <c r="I1000" s="24"/>
      <c r="J1000" s="24"/>
      <c r="K1000" s="5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  <row r="1001">
      <c r="A1001" s="26"/>
      <c r="B1001" s="26"/>
      <c r="C1001" s="24"/>
      <c r="D1001" s="26"/>
      <c r="E1001" s="26"/>
      <c r="F1001" s="26"/>
      <c r="G1001" s="26"/>
      <c r="H1001" s="24"/>
      <c r="I1001" s="24"/>
      <c r="J1001" s="24"/>
      <c r="K1001" s="5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</row>
    <row r="1002">
      <c r="A1002" s="26"/>
      <c r="B1002" s="26"/>
      <c r="C1002" s="24"/>
      <c r="D1002" s="26"/>
      <c r="E1002" s="26"/>
      <c r="F1002" s="26"/>
      <c r="G1002" s="26"/>
      <c r="H1002" s="24"/>
      <c r="I1002" s="24"/>
      <c r="J1002" s="24"/>
      <c r="K1002" s="5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</row>
    <row r="1003">
      <c r="A1003" s="26"/>
      <c r="B1003" s="26"/>
      <c r="C1003" s="24"/>
      <c r="D1003" s="26"/>
      <c r="E1003" s="26"/>
      <c r="F1003" s="26"/>
      <c r="G1003" s="26"/>
      <c r="H1003" s="24"/>
      <c r="I1003" s="24"/>
      <c r="J1003" s="24"/>
      <c r="K1003" s="5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5" max="5" width="17.57"/>
  </cols>
  <sheetData>
    <row r="1">
      <c r="A1" s="1" t="s">
        <v>1</v>
      </c>
      <c r="B1" s="16" t="s">
        <v>666</v>
      </c>
      <c r="C1" s="16" t="s">
        <v>667</v>
      </c>
      <c r="D1" s="55" t="s">
        <v>668</v>
      </c>
    </row>
    <row r="2">
      <c r="A2" s="1" t="s">
        <v>13</v>
      </c>
      <c r="B2" s="30">
        <f>iferror(VLOOKUP(A2,numfire!A:B,2,false), "NOT ACTIVE")</f>
        <v>62.3</v>
      </c>
      <c r="C2" s="30" t="str">
        <f>iferror(VLOOKUP(A2,fpros!A:C,3,false), "NOT ACTIVE")</f>
        <v>NOT ACTIVE</v>
      </c>
      <c r="D2" s="56" t="str">
        <f t="shared" ref="D2:D363" si="1">iferror((B2+C2)/2, "NOT ACTIVE")</f>
        <v>NOT ACTIVE</v>
      </c>
    </row>
    <row r="3">
      <c r="A3" s="1" t="s">
        <v>17</v>
      </c>
      <c r="B3" s="30">
        <f>iferror(VLOOKUP(A3,numfire!A:B,2,false), "NOT ACTIVE")</f>
        <v>53.9</v>
      </c>
      <c r="C3" s="16">
        <v>0.0</v>
      </c>
      <c r="D3" s="56">
        <f t="shared" si="1"/>
        <v>26.95</v>
      </c>
    </row>
    <row r="4">
      <c r="A4" s="1" t="s">
        <v>20</v>
      </c>
      <c r="B4" s="30">
        <f>iferror(VLOOKUP(A4,numfire!A:B,2,false), "NOT ACTIVE")</f>
        <v>44.9</v>
      </c>
      <c r="C4" s="30" t="str">
        <f>iferror(VLOOKUP(A4,fpros!A:C,3,false), "NOT ACTIVE")</f>
        <v>NOT ACTIVE</v>
      </c>
      <c r="D4" s="56" t="str">
        <f t="shared" si="1"/>
        <v>NOT ACTIVE</v>
      </c>
    </row>
    <row r="5">
      <c r="A5" s="1" t="s">
        <v>23</v>
      </c>
      <c r="B5" s="30">
        <f>iferror(VLOOKUP(A5,numfire!A:B,2,false), "NOT ACTIVE")</f>
        <v>50.7</v>
      </c>
      <c r="C5" s="30">
        <f>iferror(VLOOKUP(A5,fpros!A:C,3,false), "NOT ACTIVE")</f>
        <v>51.3</v>
      </c>
      <c r="D5" s="56">
        <f t="shared" si="1"/>
        <v>51</v>
      </c>
    </row>
    <row r="6">
      <c r="A6" s="1" t="s">
        <v>26</v>
      </c>
      <c r="B6" s="30">
        <f>iferror(VLOOKUP(A6,numfire!A:B,2,false), "NOT ACTIVE")</f>
        <v>0</v>
      </c>
      <c r="C6" s="30" t="str">
        <f>iferror(VLOOKUP(A6,fpros!A:C,3,false), "NOT ACTIVE")</f>
        <v>NOT ACTIVE</v>
      </c>
      <c r="D6" s="56" t="str">
        <f t="shared" si="1"/>
        <v>NOT ACTIVE</v>
      </c>
    </row>
    <row r="7">
      <c r="A7" s="1" t="s">
        <v>29</v>
      </c>
      <c r="B7" s="30">
        <f>iferror(VLOOKUP(A7,numfire!A:B,2,false), "NOT ACTIVE")</f>
        <v>44.8</v>
      </c>
      <c r="C7" s="16">
        <v>0.0</v>
      </c>
      <c r="D7" s="56">
        <f t="shared" si="1"/>
        <v>22.4</v>
      </c>
    </row>
    <row r="8">
      <c r="A8" s="1" t="s">
        <v>33</v>
      </c>
      <c r="B8" s="30">
        <f>iferror(VLOOKUP(A8,numfire!A:B,2,false), "NOT ACTIVE")</f>
        <v>0</v>
      </c>
      <c r="C8" s="30" t="str">
        <f>iferror(VLOOKUP(A8,fpros!A:C,3,false), "NOT ACTIVE")</f>
        <v>NOT ACTIVE</v>
      </c>
      <c r="D8" s="56" t="str">
        <f t="shared" si="1"/>
        <v>NOT ACTIVE</v>
      </c>
    </row>
    <row r="9">
      <c r="A9" s="1" t="s">
        <v>34</v>
      </c>
      <c r="B9" s="30">
        <f>iferror(VLOOKUP(A9,numfire!A:B,2,false), "NOT ACTIVE")</f>
        <v>0</v>
      </c>
      <c r="C9" s="30" t="str">
        <f>iferror(VLOOKUP(A9,fpros!A:C,3,false), "NOT ACTIVE")</f>
        <v>NOT ACTIVE</v>
      </c>
      <c r="D9" s="56" t="str">
        <f t="shared" si="1"/>
        <v>NOT ACTIVE</v>
      </c>
    </row>
    <row r="10">
      <c r="A10" s="1" t="s">
        <v>35</v>
      </c>
      <c r="B10" s="30">
        <f>iferror(VLOOKUP(A10,numfire!A:B,2,false), "NOT ACTIVE")</f>
        <v>36.8</v>
      </c>
      <c r="C10" s="30" t="str">
        <f>iferror(VLOOKUP(A10,fpros!A:C,3,false), "NOT ACTIVE")</f>
        <v>NOT ACTIVE</v>
      </c>
      <c r="D10" s="56" t="str">
        <f t="shared" si="1"/>
        <v>NOT ACTIVE</v>
      </c>
    </row>
    <row r="11">
      <c r="A11" s="1" t="s">
        <v>36</v>
      </c>
      <c r="B11" s="30">
        <f>iferror(VLOOKUP(A11,numfire!A:B,2,false), "NOT ACTIVE")</f>
        <v>36.6</v>
      </c>
      <c r="C11" s="30" t="str">
        <f>iferror(VLOOKUP(A11,fpros!A:C,3,false), "NOT ACTIVE")</f>
        <v>NOT ACTIVE</v>
      </c>
      <c r="D11" s="56" t="str">
        <f t="shared" si="1"/>
        <v>NOT ACTIVE</v>
      </c>
    </row>
    <row r="12">
      <c r="A12" s="1" t="s">
        <v>37</v>
      </c>
      <c r="B12" s="30">
        <f>iferror(VLOOKUP(A12,numfire!A:B,2,false), "NOT ACTIVE")</f>
        <v>42.9</v>
      </c>
      <c r="C12" s="30">
        <f>iferror(VLOOKUP(A12,fpros!A:C,3,false), "NOT ACTIVE")</f>
        <v>42.3</v>
      </c>
      <c r="D12" s="56">
        <f t="shared" si="1"/>
        <v>42.6</v>
      </c>
    </row>
    <row r="13">
      <c r="A13" s="1" t="s">
        <v>39</v>
      </c>
      <c r="B13" s="30">
        <f>iferror(VLOOKUP(A13,numfire!A:B,2,false), "NOT ACTIVE")</f>
        <v>35</v>
      </c>
      <c r="C13" s="30">
        <f>iferror(VLOOKUP(A13,fpros!A:C,3,false), "NOT ACTIVE")</f>
        <v>36.1</v>
      </c>
      <c r="D13" s="56">
        <f t="shared" si="1"/>
        <v>35.55</v>
      </c>
    </row>
    <row r="14">
      <c r="A14" s="1" t="s">
        <v>40</v>
      </c>
      <c r="B14" s="30">
        <f>iferror(VLOOKUP(A14,numfire!A:B,2,false), "NOT ACTIVE")</f>
        <v>35.3</v>
      </c>
      <c r="C14" s="30">
        <f>iferror(VLOOKUP(A14,fpros!A:C,3,false), "NOT ACTIVE")</f>
        <v>35</v>
      </c>
      <c r="D14" s="56">
        <f t="shared" si="1"/>
        <v>35.15</v>
      </c>
    </row>
    <row r="15">
      <c r="A15" s="1" t="s">
        <v>41</v>
      </c>
      <c r="B15" s="30">
        <f>iferror(VLOOKUP(A15,numfire!A:B,2,false), "NOT ACTIVE")</f>
        <v>38.2</v>
      </c>
      <c r="C15" s="30" t="str">
        <f>iferror(VLOOKUP(A15,fpros!A:C,3,false), "NOT ACTIVE")</f>
        <v>NOT ACTIVE</v>
      </c>
      <c r="D15" s="56" t="str">
        <f t="shared" si="1"/>
        <v>NOT ACTIVE</v>
      </c>
    </row>
    <row r="16">
      <c r="A16" s="1" t="s">
        <v>43</v>
      </c>
      <c r="B16" s="30">
        <f>iferror(VLOOKUP(A16,numfire!A:B,2,false), "NOT ACTIVE")</f>
        <v>30.7</v>
      </c>
      <c r="C16" s="30" t="str">
        <f>iferror(VLOOKUP(A16,fpros!A:C,3,false), "NOT ACTIVE")</f>
        <v>NOT ACTIVE</v>
      </c>
      <c r="D16" s="56" t="str">
        <f t="shared" si="1"/>
        <v>NOT ACTIVE</v>
      </c>
    </row>
    <row r="17">
      <c r="A17" s="1" t="s">
        <v>44</v>
      </c>
      <c r="B17" s="30">
        <f>iferror(VLOOKUP(A17,numfire!A:B,2,false), "NOT ACTIVE")</f>
        <v>39.1</v>
      </c>
      <c r="C17" s="30" t="str">
        <f>iferror(VLOOKUP(A17,fpros!A:C,3,false), "NOT ACTIVE")</f>
        <v>NOT ACTIVE</v>
      </c>
      <c r="D17" s="56" t="str">
        <f t="shared" si="1"/>
        <v>NOT ACTIVE</v>
      </c>
    </row>
    <row r="18">
      <c r="A18" s="1" t="s">
        <v>45</v>
      </c>
      <c r="B18" s="30">
        <f>iferror(VLOOKUP(A18,numfire!A:B,2,false), "NOT ACTIVE")</f>
        <v>36.5</v>
      </c>
      <c r="C18" s="30" t="str">
        <f>iferror(VLOOKUP(A18,fpros!A:C,3,false), "NOT ACTIVE")</f>
        <v>NOT ACTIVE</v>
      </c>
      <c r="D18" s="56" t="str">
        <f t="shared" si="1"/>
        <v>NOT ACTIVE</v>
      </c>
    </row>
    <row r="19">
      <c r="A19" s="1" t="s">
        <v>46</v>
      </c>
      <c r="B19" s="30">
        <f>iferror(VLOOKUP(A19,numfire!A:B,2,false), "NOT ACTIVE")</f>
        <v>44.1</v>
      </c>
      <c r="C19" s="30" t="str">
        <f>iferror(VLOOKUP(A19,fpros!A:C,3,false), "NOT ACTIVE")</f>
        <v>NOT ACTIVE</v>
      </c>
      <c r="D19" s="56" t="str">
        <f t="shared" si="1"/>
        <v>NOT ACTIVE</v>
      </c>
    </row>
    <row r="20">
      <c r="A20" s="1" t="s">
        <v>47</v>
      </c>
      <c r="B20" s="30">
        <f>iferror(VLOOKUP(A20,numfire!A:B,2,false), "NOT ACTIVE")</f>
        <v>37.1</v>
      </c>
      <c r="C20" s="30">
        <f>iferror(VLOOKUP(A20,fpros!A:C,3,false), "NOT ACTIVE")</f>
        <v>0</v>
      </c>
      <c r="D20" s="56">
        <f t="shared" si="1"/>
        <v>18.55</v>
      </c>
    </row>
    <row r="21">
      <c r="A21" s="1" t="s">
        <v>48</v>
      </c>
      <c r="B21" s="30">
        <f>iferror(VLOOKUP(A21,numfire!A:B,2,false), "NOT ACTIVE")</f>
        <v>35.3</v>
      </c>
      <c r="C21" s="30">
        <f>iferror(VLOOKUP(A21,fpros!A:C,3,false), "NOT ACTIVE")</f>
        <v>38.2</v>
      </c>
      <c r="D21" s="56">
        <f t="shared" si="1"/>
        <v>36.75</v>
      </c>
    </row>
    <row r="22">
      <c r="A22" s="1" t="s">
        <v>49</v>
      </c>
      <c r="B22" s="30">
        <f>iferror(VLOOKUP(A22,numfire!A:B,2,false), "NOT ACTIVE")</f>
        <v>40.8</v>
      </c>
      <c r="C22" s="30">
        <f>iferror(VLOOKUP(A22,fpros!A:C,3,false), "NOT ACTIVE")</f>
        <v>43</v>
      </c>
      <c r="D22" s="56">
        <f t="shared" si="1"/>
        <v>41.9</v>
      </c>
    </row>
    <row r="23">
      <c r="A23" s="1" t="s">
        <v>50</v>
      </c>
      <c r="B23" s="30">
        <f>iferror(VLOOKUP(A23,numfire!A:B,2,false), "NOT ACTIVE")</f>
        <v>38.1</v>
      </c>
      <c r="C23" s="30" t="str">
        <f>iferror(VLOOKUP(A23,fpros!A:C,3,false), "NOT ACTIVE")</f>
        <v>NOT ACTIVE</v>
      </c>
      <c r="D23" s="56" t="str">
        <f t="shared" si="1"/>
        <v>NOT ACTIVE</v>
      </c>
    </row>
    <row r="24">
      <c r="A24" s="1" t="s">
        <v>51</v>
      </c>
      <c r="B24" s="30">
        <f>iferror(VLOOKUP(A24,numfire!A:B,2,false), "NOT ACTIVE")</f>
        <v>37.1</v>
      </c>
      <c r="C24" s="30" t="str">
        <f>iferror(VLOOKUP(A24,fpros!A:C,3,false), "NOT ACTIVE")</f>
        <v>NOT ACTIVE</v>
      </c>
      <c r="D24" s="56" t="str">
        <f t="shared" si="1"/>
        <v>NOT ACTIVE</v>
      </c>
    </row>
    <row r="25">
      <c r="A25" s="1" t="s">
        <v>52</v>
      </c>
      <c r="B25" s="30">
        <f>iferror(VLOOKUP(A25,numfire!A:B,2,false), "NOT ACTIVE")</f>
        <v>0</v>
      </c>
      <c r="C25" s="30" t="str">
        <f>iferror(VLOOKUP(A25,fpros!A:C,3,false), "NOT ACTIVE")</f>
        <v>NOT ACTIVE</v>
      </c>
      <c r="D25" s="56" t="str">
        <f t="shared" si="1"/>
        <v>NOT ACTIVE</v>
      </c>
    </row>
    <row r="26">
      <c r="A26" s="1" t="s">
        <v>53</v>
      </c>
      <c r="B26" s="30">
        <f>iferror(VLOOKUP(A26,numfire!A:B,2,false), "NOT ACTIVE")</f>
        <v>34.3</v>
      </c>
      <c r="C26" s="30">
        <f>iferror(VLOOKUP(A26,fpros!A:C,3,false), "NOT ACTIVE")</f>
        <v>35.1</v>
      </c>
      <c r="D26" s="56">
        <f t="shared" si="1"/>
        <v>34.7</v>
      </c>
    </row>
    <row r="27">
      <c r="A27" s="1" t="s">
        <v>54</v>
      </c>
      <c r="B27" s="30">
        <f>iferror(VLOOKUP(A27,numfire!A:B,2,false), "NOT ACTIVE")</f>
        <v>0</v>
      </c>
      <c r="C27" s="30" t="str">
        <f>iferror(VLOOKUP(A27,fpros!A:C,3,false), "NOT ACTIVE")</f>
        <v>NOT ACTIVE</v>
      </c>
      <c r="D27" s="56" t="str">
        <f t="shared" si="1"/>
        <v>NOT ACTIVE</v>
      </c>
    </row>
    <row r="28">
      <c r="A28" s="1" t="s">
        <v>55</v>
      </c>
      <c r="B28" s="30">
        <f>iferror(VLOOKUP(A28,numfire!A:B,2,false), "NOT ACTIVE")</f>
        <v>33.9</v>
      </c>
      <c r="C28" s="30" t="str">
        <f>iferror(VLOOKUP(A28,fpros!A:C,3,false), "NOT ACTIVE")</f>
        <v>NOT ACTIVE</v>
      </c>
      <c r="D28" s="56" t="str">
        <f t="shared" si="1"/>
        <v>NOT ACTIVE</v>
      </c>
    </row>
    <row r="29">
      <c r="A29" s="1" t="s">
        <v>56</v>
      </c>
      <c r="B29" s="30">
        <f>iferror(VLOOKUP(A29,numfire!A:B,2,false), "NOT ACTIVE")</f>
        <v>32.6</v>
      </c>
      <c r="C29" s="30" t="str">
        <f>iferror(VLOOKUP(A29,fpros!A:C,3,false), "NOT ACTIVE")</f>
        <v>NOT ACTIVE</v>
      </c>
      <c r="D29" s="56" t="str">
        <f t="shared" si="1"/>
        <v>NOT ACTIVE</v>
      </c>
    </row>
    <row r="30">
      <c r="A30" s="1" t="s">
        <v>57</v>
      </c>
      <c r="B30" s="30">
        <f>iferror(VLOOKUP(A30,numfire!A:B,2,false), "NOT ACTIVE")</f>
        <v>0</v>
      </c>
      <c r="C30" s="30">
        <f>iferror(VLOOKUP(A30,fpros!A:C,3,false), "NOT ACTIVE")</f>
        <v>29.2</v>
      </c>
      <c r="D30" s="56">
        <f t="shared" si="1"/>
        <v>14.6</v>
      </c>
    </row>
    <row r="31">
      <c r="A31" s="1" t="s">
        <v>58</v>
      </c>
      <c r="B31" s="30">
        <f>iferror(VLOOKUP(A31,numfire!A:B,2,false), "NOT ACTIVE")</f>
        <v>30.9</v>
      </c>
      <c r="C31" s="30">
        <f>iferror(VLOOKUP(A31,fpros!A:C,3,false), "NOT ACTIVE")</f>
        <v>31.9</v>
      </c>
      <c r="D31" s="56">
        <f t="shared" si="1"/>
        <v>31.4</v>
      </c>
    </row>
    <row r="32">
      <c r="A32" s="1" t="s">
        <v>59</v>
      </c>
      <c r="B32" s="30">
        <f>iferror(VLOOKUP(A32,numfire!A:B,2,false), "NOT ACTIVE")</f>
        <v>32.4</v>
      </c>
      <c r="C32" s="30">
        <f>iferror(VLOOKUP(A32,fpros!A:C,3,false), "NOT ACTIVE")</f>
        <v>33.5</v>
      </c>
      <c r="D32" s="56">
        <f t="shared" si="1"/>
        <v>32.95</v>
      </c>
    </row>
    <row r="33">
      <c r="A33" s="1" t="s">
        <v>60</v>
      </c>
      <c r="B33" s="30">
        <f>iferror(VLOOKUP(A33,numfire!A:B,2,false), "NOT ACTIVE")</f>
        <v>37.9</v>
      </c>
      <c r="C33" s="30" t="str">
        <f>iferror(VLOOKUP(A33,fpros!A:C,3,false), "NOT ACTIVE")</f>
        <v>NOT ACTIVE</v>
      </c>
      <c r="D33" s="56" t="str">
        <f t="shared" si="1"/>
        <v>NOT ACTIVE</v>
      </c>
    </row>
    <row r="34">
      <c r="A34" s="1" t="s">
        <v>61</v>
      </c>
      <c r="B34" s="30">
        <f>iferror(VLOOKUP(A34,numfire!A:B,2,false), "NOT ACTIVE")</f>
        <v>23.5</v>
      </c>
      <c r="C34" s="30">
        <f>iferror(VLOOKUP(A34,fpros!A:C,3,false), "NOT ACTIVE")</f>
        <v>17.9</v>
      </c>
      <c r="D34" s="56">
        <f t="shared" si="1"/>
        <v>20.7</v>
      </c>
    </row>
    <row r="35">
      <c r="A35" s="1" t="s">
        <v>62</v>
      </c>
      <c r="B35" s="30">
        <f>iferror(VLOOKUP(A35,numfire!A:B,2,false), "NOT ACTIVE")</f>
        <v>20.6</v>
      </c>
      <c r="C35" s="30">
        <f>iferror(VLOOKUP(A35,fpros!A:C,3,false), "NOT ACTIVE")</f>
        <v>0</v>
      </c>
      <c r="D35" s="56">
        <f t="shared" si="1"/>
        <v>10.3</v>
      </c>
    </row>
    <row r="36">
      <c r="A36" s="1" t="s">
        <v>63</v>
      </c>
      <c r="B36" s="30">
        <f>iferror(VLOOKUP(A36,numfire!A:B,2,false), "NOT ACTIVE")</f>
        <v>34.2</v>
      </c>
      <c r="C36" s="30">
        <f>iferror(VLOOKUP(A36,fpros!A:C,3,false), "NOT ACTIVE")</f>
        <v>35.2</v>
      </c>
      <c r="D36" s="56">
        <f t="shared" si="1"/>
        <v>34.7</v>
      </c>
    </row>
    <row r="37">
      <c r="A37" s="1" t="s">
        <v>64</v>
      </c>
      <c r="B37" s="30" t="str">
        <f>iferror(VLOOKUP(A37,numfire!A:B,2,false), "NOT ACTIVE")</f>
        <v>NOT ACTIVE</v>
      </c>
      <c r="C37" s="30" t="str">
        <f>iferror(VLOOKUP(A37,fpros!A:C,3,false), "NOT ACTIVE")</f>
        <v>NOT ACTIVE</v>
      </c>
      <c r="D37" s="56" t="str">
        <f t="shared" si="1"/>
        <v>NOT ACTIVE</v>
      </c>
    </row>
    <row r="38">
      <c r="A38" s="1" t="s">
        <v>65</v>
      </c>
      <c r="B38" s="30">
        <f>iferror(VLOOKUP(A38,numfire!A:B,2,false), "NOT ACTIVE")</f>
        <v>31.2</v>
      </c>
      <c r="C38" s="30">
        <f>iferror(VLOOKUP(A38,fpros!A:C,3,false), "NOT ACTIVE")</f>
        <v>0</v>
      </c>
      <c r="D38" s="56">
        <f t="shared" si="1"/>
        <v>15.6</v>
      </c>
    </row>
    <row r="39">
      <c r="A39" s="1" t="s">
        <v>66</v>
      </c>
      <c r="B39" s="30">
        <f>iferror(VLOOKUP(A39,numfire!A:B,2,false), "NOT ACTIVE")</f>
        <v>0</v>
      </c>
      <c r="C39" s="30">
        <f>iferror(VLOOKUP(A39,fpros!A:C,3,false), "NOT ACTIVE")</f>
        <v>0</v>
      </c>
      <c r="D39" s="56">
        <f t="shared" si="1"/>
        <v>0</v>
      </c>
    </row>
    <row r="40">
      <c r="A40" s="1" t="s">
        <v>67</v>
      </c>
      <c r="B40" s="30">
        <f>iferror(VLOOKUP(A40,numfire!A:B,2,false), "NOT ACTIVE")</f>
        <v>21</v>
      </c>
      <c r="C40" s="30">
        <f>iferror(VLOOKUP(A40,fpros!A:C,3,false), "NOT ACTIVE")</f>
        <v>0</v>
      </c>
      <c r="D40" s="56">
        <f t="shared" si="1"/>
        <v>10.5</v>
      </c>
    </row>
    <row r="41">
      <c r="A41" s="1" t="s">
        <v>68</v>
      </c>
      <c r="B41" s="30">
        <f>iferror(VLOOKUP(A41,numfire!A:B,2,false), "NOT ACTIVE")</f>
        <v>24</v>
      </c>
      <c r="C41" s="30" t="str">
        <f>iferror(VLOOKUP(A41,fpros!A:C,3,false), "NOT ACTIVE")</f>
        <v>NOT ACTIVE</v>
      </c>
      <c r="D41" s="56" t="str">
        <f t="shared" si="1"/>
        <v>NOT ACTIVE</v>
      </c>
    </row>
    <row r="42">
      <c r="A42" s="1" t="s">
        <v>69</v>
      </c>
      <c r="B42" s="30">
        <f>iferror(VLOOKUP(A42,numfire!A:B,2,false), "NOT ACTIVE")</f>
        <v>30.8</v>
      </c>
      <c r="C42" s="30" t="str">
        <f>iferror(VLOOKUP(A42,fpros!A:C,3,false), "NOT ACTIVE")</f>
        <v>NOT ACTIVE</v>
      </c>
      <c r="D42" s="56" t="str">
        <f t="shared" si="1"/>
        <v>NOT ACTIVE</v>
      </c>
    </row>
    <row r="43">
      <c r="A43" s="1" t="s">
        <v>70</v>
      </c>
      <c r="B43" s="30">
        <f>iferror(VLOOKUP(A43,numfire!A:B,2,false), "NOT ACTIVE")</f>
        <v>20</v>
      </c>
      <c r="C43" s="30" t="str">
        <f>iferror(VLOOKUP(A43,fpros!A:C,3,false), "NOT ACTIVE")</f>
        <v>NOT ACTIVE</v>
      </c>
      <c r="D43" s="56" t="str">
        <f t="shared" si="1"/>
        <v>NOT ACTIVE</v>
      </c>
    </row>
    <row r="44">
      <c r="A44" s="1" t="s">
        <v>71</v>
      </c>
      <c r="B44" s="30" t="str">
        <f>iferror(VLOOKUP(A44,numfire!A:B,2,false), "NOT ACTIVE")</f>
        <v>NOT ACTIVE</v>
      </c>
      <c r="C44" s="30">
        <f>iferror(VLOOKUP(A44,fpros!A:C,3,false), "NOT ACTIVE")</f>
        <v>0</v>
      </c>
      <c r="D44" s="56" t="str">
        <f t="shared" si="1"/>
        <v>NOT ACTIVE</v>
      </c>
    </row>
    <row r="45">
      <c r="A45" s="1" t="s">
        <v>72</v>
      </c>
      <c r="B45" s="30">
        <f>iferror(VLOOKUP(A45,numfire!A:B,2,false), "NOT ACTIVE")</f>
        <v>31.1</v>
      </c>
      <c r="C45" s="30" t="str">
        <f>iferror(VLOOKUP(A45,fpros!A:C,3,false), "NOT ACTIVE")</f>
        <v>NOT ACTIVE</v>
      </c>
      <c r="D45" s="56" t="str">
        <f t="shared" si="1"/>
        <v>NOT ACTIVE</v>
      </c>
    </row>
    <row r="46">
      <c r="A46" s="1" t="s">
        <v>73</v>
      </c>
      <c r="B46" s="30">
        <f>iferror(VLOOKUP(A46,numfire!A:B,2,false), "NOT ACTIVE")</f>
        <v>0</v>
      </c>
      <c r="C46" s="30" t="str">
        <f>iferror(VLOOKUP(A46,fpros!A:C,3,false), "NOT ACTIVE")</f>
        <v>NOT ACTIVE</v>
      </c>
      <c r="D46" s="56" t="str">
        <f t="shared" si="1"/>
        <v>NOT ACTIVE</v>
      </c>
    </row>
    <row r="47">
      <c r="A47" s="1" t="s">
        <v>74</v>
      </c>
      <c r="B47" s="30">
        <f>iferror(VLOOKUP(A47,numfire!A:B,2,false), "NOT ACTIVE")</f>
        <v>24.6</v>
      </c>
      <c r="C47" s="30">
        <f>iferror(VLOOKUP(A47,fpros!A:C,3,false), "NOT ACTIVE")</f>
        <v>24.6</v>
      </c>
      <c r="D47" s="56">
        <f t="shared" si="1"/>
        <v>24.6</v>
      </c>
    </row>
    <row r="48">
      <c r="A48" s="1" t="s">
        <v>75</v>
      </c>
      <c r="B48" s="30">
        <f>iferror(VLOOKUP(A48,numfire!A:B,2,false), "NOT ACTIVE")</f>
        <v>29.7</v>
      </c>
      <c r="C48" s="30">
        <f>iferror(VLOOKUP(A48,fpros!A:C,3,false), "NOT ACTIVE")</f>
        <v>30</v>
      </c>
      <c r="D48" s="56">
        <f t="shared" si="1"/>
        <v>29.85</v>
      </c>
    </row>
    <row r="49">
      <c r="A49" s="1" t="s">
        <v>76</v>
      </c>
      <c r="B49" s="30">
        <f>iferror(VLOOKUP(A49,numfire!A:B,2,false), "NOT ACTIVE")</f>
        <v>26.8</v>
      </c>
      <c r="C49" s="30">
        <f>iferror(VLOOKUP(A49,fpros!A:C,3,false), "NOT ACTIVE")</f>
        <v>0</v>
      </c>
      <c r="D49" s="56">
        <f t="shared" si="1"/>
        <v>13.4</v>
      </c>
    </row>
    <row r="50">
      <c r="A50" s="1" t="s">
        <v>77</v>
      </c>
      <c r="B50" s="30">
        <f>iferror(VLOOKUP(A50,numfire!A:B,2,false), "NOT ACTIVE")</f>
        <v>31.3</v>
      </c>
      <c r="C50" s="30" t="str">
        <f>iferror(VLOOKUP(A50,fpros!A:C,3,false), "NOT ACTIVE")</f>
        <v>NOT ACTIVE</v>
      </c>
      <c r="D50" s="56" t="str">
        <f t="shared" si="1"/>
        <v>NOT ACTIVE</v>
      </c>
    </row>
    <row r="51">
      <c r="A51" s="1" t="s">
        <v>78</v>
      </c>
      <c r="B51" s="30" t="str">
        <f>iferror(VLOOKUP(A51,numfire!A:B,2,false), "NOT ACTIVE")</f>
        <v>NOT ACTIVE</v>
      </c>
      <c r="C51" s="30" t="str">
        <f>iferror(VLOOKUP(A51,fpros!A:C,3,false), "NOT ACTIVE")</f>
        <v>NOT ACTIVE</v>
      </c>
      <c r="D51" s="56" t="str">
        <f t="shared" si="1"/>
        <v>NOT ACTIVE</v>
      </c>
    </row>
    <row r="52">
      <c r="A52" s="1" t="s">
        <v>79</v>
      </c>
      <c r="B52" s="30">
        <f>iferror(VLOOKUP(A52,numfire!A:B,2,false), "NOT ACTIVE")</f>
        <v>27.6</v>
      </c>
      <c r="C52" s="30">
        <f>iferror(VLOOKUP(A52,fpros!A:C,3,false), "NOT ACTIVE")</f>
        <v>0</v>
      </c>
      <c r="D52" s="56">
        <f t="shared" si="1"/>
        <v>13.8</v>
      </c>
    </row>
    <row r="53">
      <c r="A53" s="1" t="s">
        <v>80</v>
      </c>
      <c r="B53" s="30">
        <f>iferror(VLOOKUP(A53,numfire!A:B,2,false), "NOT ACTIVE")</f>
        <v>28.4</v>
      </c>
      <c r="C53" s="30">
        <f>iferror(VLOOKUP(A53,fpros!A:C,3,false), "NOT ACTIVE")</f>
        <v>0</v>
      </c>
      <c r="D53" s="56">
        <f t="shared" si="1"/>
        <v>14.2</v>
      </c>
    </row>
    <row r="54">
      <c r="A54" s="1" t="s">
        <v>81</v>
      </c>
      <c r="B54" s="30">
        <f>iferror(VLOOKUP(A54,numfire!A:B,2,false), "NOT ACTIVE")</f>
        <v>26.5</v>
      </c>
      <c r="C54" s="30" t="str">
        <f>iferror(VLOOKUP(A54,fpros!A:C,3,false), "NOT ACTIVE")</f>
        <v>NOT ACTIVE</v>
      </c>
      <c r="D54" s="56" t="str">
        <f t="shared" si="1"/>
        <v>NOT ACTIVE</v>
      </c>
    </row>
    <row r="55">
      <c r="A55" s="1" t="s">
        <v>82</v>
      </c>
      <c r="B55" s="30">
        <f>iferror(VLOOKUP(A55,numfire!A:B,2,false), "NOT ACTIVE")</f>
        <v>27.3</v>
      </c>
      <c r="C55" s="30" t="str">
        <f>iferror(VLOOKUP(A55,fpros!A:C,3,false), "NOT ACTIVE")</f>
        <v>NOT ACTIVE</v>
      </c>
      <c r="D55" s="56" t="str">
        <f t="shared" si="1"/>
        <v>NOT ACTIVE</v>
      </c>
    </row>
    <row r="56">
      <c r="A56" s="1" t="s">
        <v>83</v>
      </c>
      <c r="B56" s="30">
        <f>iferror(VLOOKUP(A56,numfire!A:B,2,false), "NOT ACTIVE")</f>
        <v>25.4</v>
      </c>
      <c r="C56" s="30" t="str">
        <f>iferror(VLOOKUP(A56,fpros!A:C,3,false), "NOT ACTIVE")</f>
        <v>NOT ACTIVE</v>
      </c>
      <c r="D56" s="56" t="str">
        <f t="shared" si="1"/>
        <v>NOT ACTIVE</v>
      </c>
    </row>
    <row r="57">
      <c r="A57" s="1" t="s">
        <v>84</v>
      </c>
      <c r="B57" s="30">
        <f>iferror(VLOOKUP(A57,numfire!A:B,2,false), "NOT ACTIVE")</f>
        <v>24.3</v>
      </c>
      <c r="C57" s="30" t="str">
        <f>iferror(VLOOKUP(A57,fpros!A:C,3,false), "NOT ACTIVE")</f>
        <v>NOT ACTIVE</v>
      </c>
      <c r="D57" s="56" t="str">
        <f t="shared" si="1"/>
        <v>NOT ACTIVE</v>
      </c>
    </row>
    <row r="58">
      <c r="A58" s="1" t="s">
        <v>85</v>
      </c>
      <c r="B58" s="30">
        <f>iferror(VLOOKUP(A58,numfire!A:B,2,false), "NOT ACTIVE")</f>
        <v>28.8</v>
      </c>
      <c r="C58" s="30" t="str">
        <f>iferror(VLOOKUP(A58,fpros!A:C,3,false), "NOT ACTIVE")</f>
        <v>NOT ACTIVE</v>
      </c>
      <c r="D58" s="56" t="str">
        <f t="shared" si="1"/>
        <v>NOT ACTIVE</v>
      </c>
    </row>
    <row r="59">
      <c r="A59" s="1" t="s">
        <v>86</v>
      </c>
      <c r="B59" s="30">
        <f>iferror(VLOOKUP(A59,numfire!A:B,2,false), "NOT ACTIVE")</f>
        <v>34.1</v>
      </c>
      <c r="C59" s="30">
        <f>iferror(VLOOKUP(A59,fpros!A:C,3,false), "NOT ACTIVE")</f>
        <v>0</v>
      </c>
      <c r="D59" s="56">
        <f t="shared" si="1"/>
        <v>17.05</v>
      </c>
    </row>
    <row r="60">
      <c r="A60" s="1" t="s">
        <v>87</v>
      </c>
      <c r="B60" s="30">
        <f>iferror(VLOOKUP(A60,numfire!A:B,2,false), "NOT ACTIVE")</f>
        <v>24.5</v>
      </c>
      <c r="C60" s="30">
        <f>iferror(VLOOKUP(A60,fpros!A:C,3,false), "NOT ACTIVE")</f>
        <v>15.2</v>
      </c>
      <c r="D60" s="56">
        <f t="shared" si="1"/>
        <v>19.85</v>
      </c>
    </row>
    <row r="61">
      <c r="A61" s="1" t="s">
        <v>88</v>
      </c>
      <c r="B61" s="30">
        <f>iferror(VLOOKUP(A61,numfire!A:B,2,false), "NOT ACTIVE")</f>
        <v>26.4</v>
      </c>
      <c r="C61" s="30" t="str">
        <f>iferror(VLOOKUP(A61,fpros!A:C,3,false), "NOT ACTIVE")</f>
        <v>NOT ACTIVE</v>
      </c>
      <c r="D61" s="56" t="str">
        <f t="shared" si="1"/>
        <v>NOT ACTIVE</v>
      </c>
    </row>
    <row r="62">
      <c r="A62" s="1" t="s">
        <v>89</v>
      </c>
      <c r="B62" s="30">
        <f>iferror(VLOOKUP(A62,numfire!A:B,2,false), "NOT ACTIVE")</f>
        <v>16.3</v>
      </c>
      <c r="C62" s="30">
        <f>iferror(VLOOKUP(A62,fpros!A:C,3,false), "NOT ACTIVE")</f>
        <v>16</v>
      </c>
      <c r="D62" s="56">
        <f t="shared" si="1"/>
        <v>16.15</v>
      </c>
    </row>
    <row r="63">
      <c r="A63" s="1" t="s">
        <v>90</v>
      </c>
      <c r="B63" s="30">
        <f>iferror(VLOOKUP(A63,numfire!A:B,2,false), "NOT ACTIVE")</f>
        <v>22.7</v>
      </c>
      <c r="C63" s="30">
        <f>iferror(VLOOKUP(A63,fpros!A:C,3,false), "NOT ACTIVE")</f>
        <v>0</v>
      </c>
      <c r="D63" s="56">
        <f t="shared" si="1"/>
        <v>11.35</v>
      </c>
    </row>
    <row r="64">
      <c r="A64" s="1" t="s">
        <v>91</v>
      </c>
      <c r="B64" s="30" t="str">
        <f>iferror(VLOOKUP(A64,numfire!A:B,2,false), "NOT ACTIVE")</f>
        <v>NOT ACTIVE</v>
      </c>
      <c r="C64" s="30">
        <f>iferror(VLOOKUP(A64,fpros!A:C,3,false), "NOT ACTIVE")</f>
        <v>0</v>
      </c>
      <c r="D64" s="56" t="str">
        <f t="shared" si="1"/>
        <v>NOT ACTIVE</v>
      </c>
    </row>
    <row r="65">
      <c r="A65" s="1" t="s">
        <v>92</v>
      </c>
      <c r="B65" s="30">
        <f>iferror(VLOOKUP(A65,numfire!A:B,2,false), "NOT ACTIVE")</f>
        <v>20.2</v>
      </c>
      <c r="C65" s="30" t="str">
        <f>iferror(VLOOKUP(A65,fpros!A:C,3,false), "NOT ACTIVE")</f>
        <v>NOT ACTIVE</v>
      </c>
      <c r="D65" s="56" t="str">
        <f t="shared" si="1"/>
        <v>NOT ACTIVE</v>
      </c>
    </row>
    <row r="66">
      <c r="A66" s="1" t="s">
        <v>93</v>
      </c>
      <c r="B66" s="30">
        <f>iferror(VLOOKUP(A66,numfire!A:B,2,false), "NOT ACTIVE")</f>
        <v>22.4</v>
      </c>
      <c r="C66" s="30">
        <f>iferror(VLOOKUP(A66,fpros!A:C,3,false), "NOT ACTIVE")</f>
        <v>19.7</v>
      </c>
      <c r="D66" s="56">
        <f t="shared" si="1"/>
        <v>21.05</v>
      </c>
    </row>
    <row r="67">
      <c r="A67" s="1" t="s">
        <v>94</v>
      </c>
      <c r="B67" s="30">
        <f>iferror(VLOOKUP(A67,numfire!A:B,2,false), "NOT ACTIVE")</f>
        <v>27.2</v>
      </c>
      <c r="C67" s="30">
        <f>iferror(VLOOKUP(A67,fpros!A:C,3,false), "NOT ACTIVE")</f>
        <v>29.4</v>
      </c>
      <c r="D67" s="56">
        <f t="shared" si="1"/>
        <v>28.3</v>
      </c>
    </row>
    <row r="68">
      <c r="A68" s="1" t="s">
        <v>95</v>
      </c>
      <c r="B68" s="30">
        <f>iferror(VLOOKUP(A68,numfire!A:B,2,false), "NOT ACTIVE")</f>
        <v>29.1</v>
      </c>
      <c r="C68" s="30" t="str">
        <f>iferror(VLOOKUP(A68,fpros!A:C,3,false), "NOT ACTIVE")</f>
        <v>NOT ACTIVE</v>
      </c>
      <c r="D68" s="56" t="str">
        <f t="shared" si="1"/>
        <v>NOT ACTIVE</v>
      </c>
    </row>
    <row r="69">
      <c r="A69" s="1" t="s">
        <v>96</v>
      </c>
      <c r="B69" s="30">
        <f>iferror(VLOOKUP(A69,numfire!A:B,2,false), "NOT ACTIVE")</f>
        <v>0</v>
      </c>
      <c r="C69" s="30">
        <f>iferror(VLOOKUP(A69,fpros!A:C,3,false), "NOT ACTIVE")</f>
        <v>0</v>
      </c>
      <c r="D69" s="56">
        <f t="shared" si="1"/>
        <v>0</v>
      </c>
    </row>
    <row r="70">
      <c r="A70" s="1" t="s">
        <v>97</v>
      </c>
      <c r="B70" s="30">
        <f>iferror(VLOOKUP(A70,numfire!A:B,2,false), "NOT ACTIVE")</f>
        <v>20.1</v>
      </c>
      <c r="C70" s="30" t="str">
        <f>iferror(VLOOKUP(A70,fpros!A:C,3,false), "NOT ACTIVE")</f>
        <v>NOT ACTIVE</v>
      </c>
      <c r="D70" s="56" t="str">
        <f t="shared" si="1"/>
        <v>NOT ACTIVE</v>
      </c>
    </row>
    <row r="71">
      <c r="A71" s="1" t="s">
        <v>98</v>
      </c>
      <c r="B71" s="30">
        <f>iferror(VLOOKUP(A71,numfire!A:B,2,false), "NOT ACTIVE")</f>
        <v>31.1</v>
      </c>
      <c r="C71" s="30" t="str">
        <f>iferror(VLOOKUP(A71,fpros!A:C,3,false), "NOT ACTIVE")</f>
        <v>NOT ACTIVE</v>
      </c>
      <c r="D71" s="56" t="str">
        <f t="shared" si="1"/>
        <v>NOT ACTIVE</v>
      </c>
    </row>
    <row r="72">
      <c r="A72" s="1" t="s">
        <v>99</v>
      </c>
      <c r="B72" s="30">
        <f>iferror(VLOOKUP(A72,numfire!A:B,2,false), "NOT ACTIVE")</f>
        <v>18.6</v>
      </c>
      <c r="C72" s="30" t="str">
        <f>iferror(VLOOKUP(A72,fpros!A:C,3,false), "NOT ACTIVE")</f>
        <v>NOT ACTIVE</v>
      </c>
      <c r="D72" s="56" t="str">
        <f t="shared" si="1"/>
        <v>NOT ACTIVE</v>
      </c>
    </row>
    <row r="73">
      <c r="A73" s="1" t="s">
        <v>100</v>
      </c>
      <c r="B73" s="30">
        <f>iferror(VLOOKUP(A73,numfire!A:B,2,false), "NOT ACTIVE")</f>
        <v>23</v>
      </c>
      <c r="C73" s="30">
        <f>iferror(VLOOKUP(A73,fpros!A:C,3,false), "NOT ACTIVE")</f>
        <v>12.4</v>
      </c>
      <c r="D73" s="56">
        <f t="shared" si="1"/>
        <v>17.7</v>
      </c>
    </row>
    <row r="74">
      <c r="A74" s="1" t="s">
        <v>101</v>
      </c>
      <c r="B74" s="30">
        <f>iferror(VLOOKUP(A74,numfire!A:B,2,false), "NOT ACTIVE")</f>
        <v>24</v>
      </c>
      <c r="C74" s="30">
        <f>iferror(VLOOKUP(A74,fpros!A:C,3,false), "NOT ACTIVE")</f>
        <v>13.1</v>
      </c>
      <c r="D74" s="56">
        <f t="shared" si="1"/>
        <v>18.55</v>
      </c>
    </row>
    <row r="75">
      <c r="A75" s="1" t="s">
        <v>102</v>
      </c>
      <c r="B75" s="30">
        <f>iferror(VLOOKUP(A75,numfire!A:B,2,false), "NOT ACTIVE")</f>
        <v>19.2</v>
      </c>
      <c r="C75" s="30">
        <f>iferror(VLOOKUP(A75,fpros!A:C,3,false), "NOT ACTIVE")</f>
        <v>24.4</v>
      </c>
      <c r="D75" s="56">
        <f t="shared" si="1"/>
        <v>21.8</v>
      </c>
    </row>
    <row r="76">
      <c r="A76" s="1" t="s">
        <v>103</v>
      </c>
      <c r="B76" s="30">
        <f>iferror(VLOOKUP(A76,numfire!A:B,2,false), "NOT ACTIVE")</f>
        <v>22.1</v>
      </c>
      <c r="C76" s="30" t="str">
        <f>iferror(VLOOKUP(A76,fpros!A:C,3,false), "NOT ACTIVE")</f>
        <v>NOT ACTIVE</v>
      </c>
      <c r="D76" s="56" t="str">
        <f t="shared" si="1"/>
        <v>NOT ACTIVE</v>
      </c>
    </row>
    <row r="77">
      <c r="A77" s="1" t="s">
        <v>104</v>
      </c>
      <c r="B77" s="30">
        <f>iferror(VLOOKUP(A77,numfire!A:B,2,false), "NOT ACTIVE")</f>
        <v>13.4</v>
      </c>
      <c r="C77" s="30">
        <f>iferror(VLOOKUP(A77,fpros!A:C,3,false), "NOT ACTIVE")</f>
        <v>0</v>
      </c>
      <c r="D77" s="56">
        <f t="shared" si="1"/>
        <v>6.7</v>
      </c>
    </row>
    <row r="78">
      <c r="A78" s="1" t="s">
        <v>105</v>
      </c>
      <c r="B78" s="30">
        <f>iferror(VLOOKUP(A78,numfire!A:B,2,false), "NOT ACTIVE")</f>
        <v>0.4</v>
      </c>
      <c r="C78" s="30">
        <f>iferror(VLOOKUP(A78,fpros!A:C,3,false), "NOT ACTIVE")</f>
        <v>0</v>
      </c>
      <c r="D78" s="56">
        <f t="shared" si="1"/>
        <v>0.2</v>
      </c>
    </row>
    <row r="79">
      <c r="A79" s="1" t="s">
        <v>106</v>
      </c>
      <c r="B79" s="30">
        <f>iferror(VLOOKUP(A79,numfire!A:B,2,false), "NOT ACTIVE")</f>
        <v>21.8</v>
      </c>
      <c r="C79" s="30" t="str">
        <f>iferror(VLOOKUP(A79,fpros!A:C,3,false), "NOT ACTIVE")</f>
        <v>NOT ACTIVE</v>
      </c>
      <c r="D79" s="56" t="str">
        <f t="shared" si="1"/>
        <v>NOT ACTIVE</v>
      </c>
    </row>
    <row r="80">
      <c r="A80" s="1" t="s">
        <v>107</v>
      </c>
      <c r="B80" s="30">
        <f>iferror(VLOOKUP(A80,numfire!A:B,2,false), "NOT ACTIVE")</f>
        <v>17.1</v>
      </c>
      <c r="C80" s="30">
        <f>iferror(VLOOKUP(A80,fpros!A:C,3,false), "NOT ACTIVE")</f>
        <v>14.7</v>
      </c>
      <c r="D80" s="56">
        <f t="shared" si="1"/>
        <v>15.9</v>
      </c>
    </row>
    <row r="81">
      <c r="A81" s="1" t="s">
        <v>108</v>
      </c>
      <c r="B81" s="30">
        <f>iferror(VLOOKUP(A81,numfire!A:B,2,false), "NOT ACTIVE")</f>
        <v>15.1</v>
      </c>
      <c r="C81" s="30">
        <f>iferror(VLOOKUP(A81,fpros!A:C,3,false), "NOT ACTIVE")</f>
        <v>0</v>
      </c>
      <c r="D81" s="56">
        <f t="shared" si="1"/>
        <v>7.55</v>
      </c>
    </row>
    <row r="82">
      <c r="A82" s="1" t="s">
        <v>109</v>
      </c>
      <c r="B82" s="30">
        <f>iferror(VLOOKUP(A82,numfire!A:B,2,false), "NOT ACTIVE")</f>
        <v>0</v>
      </c>
      <c r="C82" s="30" t="str">
        <f>iferror(VLOOKUP(A82,fpros!A:C,3,false), "NOT ACTIVE")</f>
        <v>NOT ACTIVE</v>
      </c>
      <c r="D82" s="56" t="str">
        <f t="shared" si="1"/>
        <v>NOT ACTIVE</v>
      </c>
    </row>
    <row r="83">
      <c r="A83" s="1" t="s">
        <v>110</v>
      </c>
      <c r="B83" s="30">
        <f>iferror(VLOOKUP(A83,numfire!A:B,2,false), "NOT ACTIVE")</f>
        <v>6</v>
      </c>
      <c r="C83" s="30">
        <f>iferror(VLOOKUP(A83,fpros!A:C,3,false), "NOT ACTIVE")</f>
        <v>9.5</v>
      </c>
      <c r="D83" s="56">
        <f t="shared" si="1"/>
        <v>7.75</v>
      </c>
    </row>
    <row r="84">
      <c r="A84" s="1" t="s">
        <v>111</v>
      </c>
      <c r="B84" s="30">
        <f>iferror(VLOOKUP(A84,numfire!A:B,2,false), "NOT ACTIVE")</f>
        <v>24.4</v>
      </c>
      <c r="C84" s="30" t="str">
        <f>iferror(VLOOKUP(A84,fpros!A:C,3,false), "NOT ACTIVE")</f>
        <v>NOT ACTIVE</v>
      </c>
      <c r="D84" s="56" t="str">
        <f t="shared" si="1"/>
        <v>NOT ACTIVE</v>
      </c>
    </row>
    <row r="85">
      <c r="A85" s="1" t="s">
        <v>112</v>
      </c>
      <c r="B85" s="30">
        <f>iferror(VLOOKUP(A85,numfire!A:B,2,false), "NOT ACTIVE")</f>
        <v>20.9</v>
      </c>
      <c r="C85" s="30" t="str">
        <f>iferror(VLOOKUP(A85,fpros!A:C,3,false), "NOT ACTIVE")</f>
        <v>NOT ACTIVE</v>
      </c>
      <c r="D85" s="56" t="str">
        <f t="shared" si="1"/>
        <v>NOT ACTIVE</v>
      </c>
    </row>
    <row r="86">
      <c r="A86" s="1" t="s">
        <v>113</v>
      </c>
      <c r="B86" s="30">
        <f>iferror(VLOOKUP(A86,numfire!A:B,2,false), "NOT ACTIVE")</f>
        <v>28.8</v>
      </c>
      <c r="C86" s="30">
        <f>iferror(VLOOKUP(A86,fpros!A:C,3,false), "NOT ACTIVE")</f>
        <v>17.2</v>
      </c>
      <c r="D86" s="56">
        <f t="shared" si="1"/>
        <v>23</v>
      </c>
    </row>
    <row r="87">
      <c r="A87" s="1" t="s">
        <v>114</v>
      </c>
      <c r="B87" s="30">
        <f>iferror(VLOOKUP(A87,numfire!A:B,2,false), "NOT ACTIVE")</f>
        <v>20.4</v>
      </c>
      <c r="C87" s="30">
        <f>iferror(VLOOKUP(A87,fpros!A:C,3,false), "NOT ACTIVE")</f>
        <v>18.8</v>
      </c>
      <c r="D87" s="56">
        <f t="shared" si="1"/>
        <v>19.6</v>
      </c>
    </row>
    <row r="88">
      <c r="A88" s="1" t="s">
        <v>115</v>
      </c>
      <c r="B88" s="30" t="str">
        <f>iferror(VLOOKUP(A88,numfire!A:B,2,false), "NOT ACTIVE")</f>
        <v>NOT ACTIVE</v>
      </c>
      <c r="C88" s="30">
        <f>iferror(VLOOKUP(A88,fpros!A:C,3,false), "NOT ACTIVE")</f>
        <v>0</v>
      </c>
      <c r="D88" s="56" t="str">
        <f t="shared" si="1"/>
        <v>NOT ACTIVE</v>
      </c>
    </row>
    <row r="89">
      <c r="A89" s="1" t="s">
        <v>116</v>
      </c>
      <c r="B89" s="30">
        <f>iferror(VLOOKUP(A89,numfire!A:B,2,false), "NOT ACTIVE")</f>
        <v>19.9</v>
      </c>
      <c r="C89" s="30">
        <f>iferror(VLOOKUP(A89,fpros!A:C,3,false), "NOT ACTIVE")</f>
        <v>10</v>
      </c>
      <c r="D89" s="56">
        <f t="shared" si="1"/>
        <v>14.95</v>
      </c>
    </row>
    <row r="90">
      <c r="A90" s="1" t="s">
        <v>117</v>
      </c>
      <c r="B90" s="30">
        <f>iferror(VLOOKUP(A90,numfire!A:B,2,false), "NOT ACTIVE")</f>
        <v>12.2</v>
      </c>
      <c r="C90" s="30" t="str">
        <f>iferror(VLOOKUP(A90,fpros!A:C,3,false), "NOT ACTIVE")</f>
        <v>NOT ACTIVE</v>
      </c>
      <c r="D90" s="56" t="str">
        <f t="shared" si="1"/>
        <v>NOT ACTIVE</v>
      </c>
    </row>
    <row r="91">
      <c r="A91" s="1" t="s">
        <v>118</v>
      </c>
      <c r="B91" s="30">
        <f>iferror(VLOOKUP(A91,numfire!A:B,2,false), "NOT ACTIVE")</f>
        <v>0</v>
      </c>
      <c r="C91" s="30">
        <f>iferror(VLOOKUP(A91,fpros!A:C,3,false), "NOT ACTIVE")</f>
        <v>22.7</v>
      </c>
      <c r="D91" s="56">
        <f t="shared" si="1"/>
        <v>11.35</v>
      </c>
    </row>
    <row r="92">
      <c r="A92" s="1" t="s">
        <v>119</v>
      </c>
      <c r="B92" s="30">
        <f>iferror(VLOOKUP(A92,numfire!A:B,2,false), "NOT ACTIVE")</f>
        <v>20.3</v>
      </c>
      <c r="C92" s="30">
        <f>iferror(VLOOKUP(A92,fpros!A:C,3,false), "NOT ACTIVE")</f>
        <v>11</v>
      </c>
      <c r="D92" s="56">
        <f t="shared" si="1"/>
        <v>15.65</v>
      </c>
    </row>
    <row r="93">
      <c r="A93" s="1" t="s">
        <v>120</v>
      </c>
      <c r="B93" s="30">
        <f>iferror(VLOOKUP(A93,numfire!A:B,2,false), "NOT ACTIVE")</f>
        <v>16</v>
      </c>
      <c r="C93" s="30">
        <f>iferror(VLOOKUP(A93,fpros!A:C,3,false), "NOT ACTIVE")</f>
        <v>11.2</v>
      </c>
      <c r="D93" s="56">
        <f t="shared" si="1"/>
        <v>13.6</v>
      </c>
    </row>
    <row r="94">
      <c r="A94" s="1" t="s">
        <v>121</v>
      </c>
      <c r="B94" s="30">
        <f>iferror(VLOOKUP(A94,numfire!A:B,2,false), "NOT ACTIVE")</f>
        <v>15.1</v>
      </c>
      <c r="C94" s="30">
        <f>iferror(VLOOKUP(A94,fpros!A:C,3,false), "NOT ACTIVE")</f>
        <v>16.5</v>
      </c>
      <c r="D94" s="56">
        <f t="shared" si="1"/>
        <v>15.8</v>
      </c>
    </row>
    <row r="95">
      <c r="A95" s="1" t="s">
        <v>122</v>
      </c>
      <c r="B95" s="30">
        <f>iferror(VLOOKUP(A95,numfire!A:B,2,false), "NOT ACTIVE")</f>
        <v>14.4</v>
      </c>
      <c r="C95" s="30" t="str">
        <f>iferror(VLOOKUP(A95,fpros!A:C,3,false), "NOT ACTIVE")</f>
        <v>NOT ACTIVE</v>
      </c>
      <c r="D95" s="56" t="str">
        <f t="shared" si="1"/>
        <v>NOT ACTIVE</v>
      </c>
    </row>
    <row r="96">
      <c r="A96" s="1" t="s">
        <v>123</v>
      </c>
      <c r="B96" s="30">
        <f>iferror(VLOOKUP(A96,numfire!A:B,2,false), "NOT ACTIVE")</f>
        <v>21.9</v>
      </c>
      <c r="C96" s="30">
        <f>iferror(VLOOKUP(A96,fpros!A:C,3,false), "NOT ACTIVE")</f>
        <v>19.3</v>
      </c>
      <c r="D96" s="56">
        <f t="shared" si="1"/>
        <v>20.6</v>
      </c>
    </row>
    <row r="97">
      <c r="A97" s="1" t="s">
        <v>124</v>
      </c>
      <c r="B97" s="30">
        <f>iferror(VLOOKUP(A97,numfire!A:B,2,false), "NOT ACTIVE")</f>
        <v>10.9</v>
      </c>
      <c r="C97" s="30">
        <f>iferror(VLOOKUP(A97,fpros!A:C,3,false), "NOT ACTIVE")</f>
        <v>17.3</v>
      </c>
      <c r="D97" s="56">
        <f t="shared" si="1"/>
        <v>14.1</v>
      </c>
    </row>
    <row r="98">
      <c r="A98" s="1" t="s">
        <v>125</v>
      </c>
      <c r="B98" s="30" t="str">
        <f>iferror(VLOOKUP(A98,numfire!A:B,2,false), "NOT ACTIVE")</f>
        <v>NOT ACTIVE</v>
      </c>
      <c r="C98" s="30">
        <f>iferror(VLOOKUP(A98,fpros!A:C,3,false), "NOT ACTIVE")</f>
        <v>0</v>
      </c>
      <c r="D98" s="56" t="str">
        <f t="shared" si="1"/>
        <v>NOT ACTIVE</v>
      </c>
    </row>
    <row r="99">
      <c r="A99" s="1" t="s">
        <v>126</v>
      </c>
      <c r="B99" s="30">
        <f>iferror(VLOOKUP(A99,numfire!A:B,2,false), "NOT ACTIVE")</f>
        <v>9.4</v>
      </c>
      <c r="C99" s="30">
        <f>iferror(VLOOKUP(A99,fpros!A:C,3,false), "NOT ACTIVE")</f>
        <v>0</v>
      </c>
      <c r="D99" s="56">
        <f t="shared" si="1"/>
        <v>4.7</v>
      </c>
    </row>
    <row r="100">
      <c r="A100" s="1" t="s">
        <v>127</v>
      </c>
      <c r="B100" s="30">
        <f>iferror(VLOOKUP(A100,numfire!A:B,2,false), "NOT ACTIVE")</f>
        <v>20</v>
      </c>
      <c r="C100" s="30">
        <f>iferror(VLOOKUP(A100,fpros!A:C,3,false), "NOT ACTIVE")</f>
        <v>22.4</v>
      </c>
      <c r="D100" s="56">
        <f t="shared" si="1"/>
        <v>21.2</v>
      </c>
    </row>
    <row r="101">
      <c r="A101" s="1" t="s">
        <v>128</v>
      </c>
      <c r="B101" s="30">
        <f>iferror(VLOOKUP(A101,numfire!A:B,2,false), "NOT ACTIVE")</f>
        <v>0</v>
      </c>
      <c r="C101" s="30">
        <f>iferror(VLOOKUP(A101,fpros!A:C,3,false), "NOT ACTIVE")</f>
        <v>0</v>
      </c>
      <c r="D101" s="56">
        <f t="shared" si="1"/>
        <v>0</v>
      </c>
    </row>
    <row r="102">
      <c r="A102" s="1" t="s">
        <v>129</v>
      </c>
      <c r="B102" s="30">
        <f>iferror(VLOOKUP(A102,numfire!A:B,2,false), "NOT ACTIVE")</f>
        <v>12.3</v>
      </c>
      <c r="C102" s="30">
        <f>iferror(VLOOKUP(A102,fpros!A:C,3,false), "NOT ACTIVE")</f>
        <v>0</v>
      </c>
      <c r="D102" s="56">
        <f t="shared" si="1"/>
        <v>6.15</v>
      </c>
    </row>
    <row r="103">
      <c r="A103" s="1" t="s">
        <v>130</v>
      </c>
      <c r="B103" s="30">
        <f>iferror(VLOOKUP(A103,numfire!A:B,2,false), "NOT ACTIVE")</f>
        <v>0</v>
      </c>
      <c r="C103" s="30">
        <f>iferror(VLOOKUP(A103,fpros!A:C,3,false), "NOT ACTIVE")</f>
        <v>0</v>
      </c>
      <c r="D103" s="56">
        <f t="shared" si="1"/>
        <v>0</v>
      </c>
    </row>
    <row r="104">
      <c r="A104" s="1" t="s">
        <v>131</v>
      </c>
      <c r="B104" s="30">
        <f>iferror(VLOOKUP(A104,numfire!A:B,2,false), "NOT ACTIVE")</f>
        <v>19.3</v>
      </c>
      <c r="C104" s="30">
        <f>iferror(VLOOKUP(A104,fpros!A:C,3,false), "NOT ACTIVE")</f>
        <v>13.6</v>
      </c>
      <c r="D104" s="56">
        <f t="shared" si="1"/>
        <v>16.45</v>
      </c>
    </row>
    <row r="105">
      <c r="A105" s="1" t="s">
        <v>132</v>
      </c>
      <c r="B105" s="30">
        <f>iferror(VLOOKUP(A105,numfire!A:B,2,false), "NOT ACTIVE")</f>
        <v>18.1</v>
      </c>
      <c r="C105" s="30">
        <f>iferror(VLOOKUP(A105,fpros!A:C,3,false), "NOT ACTIVE")</f>
        <v>10.5</v>
      </c>
      <c r="D105" s="56">
        <f t="shared" si="1"/>
        <v>14.3</v>
      </c>
    </row>
    <row r="106">
      <c r="A106" s="1" t="s">
        <v>133</v>
      </c>
      <c r="B106" s="30">
        <f>iferror(VLOOKUP(A106,numfire!A:B,2,false), "NOT ACTIVE")</f>
        <v>18</v>
      </c>
      <c r="C106" s="30" t="str">
        <f>iferror(VLOOKUP(A106,fpros!A:C,3,false), "NOT ACTIVE")</f>
        <v>NOT ACTIVE</v>
      </c>
      <c r="D106" s="56" t="str">
        <f t="shared" si="1"/>
        <v>NOT ACTIVE</v>
      </c>
    </row>
    <row r="107">
      <c r="A107" s="1" t="s">
        <v>134</v>
      </c>
      <c r="B107" s="30">
        <f>iferror(VLOOKUP(A107,numfire!A:B,2,false), "NOT ACTIVE")</f>
        <v>20.1</v>
      </c>
      <c r="C107" s="30">
        <f>iferror(VLOOKUP(A107,fpros!A:C,3,false), "NOT ACTIVE")</f>
        <v>10.6</v>
      </c>
      <c r="D107" s="56">
        <f t="shared" si="1"/>
        <v>15.35</v>
      </c>
    </row>
    <row r="108">
      <c r="A108" s="1" t="s">
        <v>135</v>
      </c>
      <c r="B108" s="30">
        <f>iferror(VLOOKUP(A108,numfire!A:B,2,false), "NOT ACTIVE")</f>
        <v>13.2</v>
      </c>
      <c r="C108" s="30">
        <f>iferror(VLOOKUP(A108,fpros!A:C,3,false), "NOT ACTIVE")</f>
        <v>22.1</v>
      </c>
      <c r="D108" s="56">
        <f t="shared" si="1"/>
        <v>17.65</v>
      </c>
    </row>
    <row r="109">
      <c r="A109" s="1" t="s">
        <v>136</v>
      </c>
      <c r="B109" s="30">
        <f>iferror(VLOOKUP(A109,numfire!A:B,2,false), "NOT ACTIVE")</f>
        <v>11.5</v>
      </c>
      <c r="C109" s="30">
        <f>iferror(VLOOKUP(A109,fpros!A:C,3,false), "NOT ACTIVE")</f>
        <v>9.9</v>
      </c>
      <c r="D109" s="56">
        <f t="shared" si="1"/>
        <v>10.7</v>
      </c>
    </row>
    <row r="110">
      <c r="A110" s="1" t="s">
        <v>137</v>
      </c>
      <c r="B110" s="30">
        <f>iferror(VLOOKUP(A110,numfire!A:B,2,false), "NOT ACTIVE")</f>
        <v>16.1</v>
      </c>
      <c r="C110" s="30">
        <f>iferror(VLOOKUP(A110,fpros!A:C,3,false), "NOT ACTIVE")</f>
        <v>16.2</v>
      </c>
      <c r="D110" s="56">
        <f t="shared" si="1"/>
        <v>16.15</v>
      </c>
    </row>
    <row r="111">
      <c r="A111" s="1" t="s">
        <v>138</v>
      </c>
      <c r="B111" s="30">
        <f>iferror(VLOOKUP(A111,numfire!A:B,2,false), "NOT ACTIVE")</f>
        <v>20.4</v>
      </c>
      <c r="C111" s="30">
        <f>iferror(VLOOKUP(A111,fpros!A:C,3,false), "NOT ACTIVE")</f>
        <v>0</v>
      </c>
      <c r="D111" s="56">
        <f t="shared" si="1"/>
        <v>10.2</v>
      </c>
    </row>
    <row r="112">
      <c r="A112" s="1" t="s">
        <v>139</v>
      </c>
      <c r="B112" s="30">
        <f>iferror(VLOOKUP(A112,numfire!A:B,2,false), "NOT ACTIVE")</f>
        <v>0</v>
      </c>
      <c r="C112" s="30">
        <f>iferror(VLOOKUP(A112,fpros!A:C,3,false), "NOT ACTIVE")</f>
        <v>0</v>
      </c>
      <c r="D112" s="56">
        <f t="shared" si="1"/>
        <v>0</v>
      </c>
    </row>
    <row r="113">
      <c r="A113" s="1" t="s">
        <v>140</v>
      </c>
      <c r="B113" s="30">
        <f>iferror(VLOOKUP(A113,numfire!A:B,2,false), "NOT ACTIVE")</f>
        <v>1.5</v>
      </c>
      <c r="C113" s="30">
        <f>iferror(VLOOKUP(A113,fpros!A:C,3,false), "NOT ACTIVE")</f>
        <v>10.9</v>
      </c>
      <c r="D113" s="56">
        <f t="shared" si="1"/>
        <v>6.2</v>
      </c>
    </row>
    <row r="114">
      <c r="A114" s="1" t="s">
        <v>141</v>
      </c>
      <c r="B114" s="30">
        <f>iferror(VLOOKUP(A114,numfire!A:B,2,false), "NOT ACTIVE")</f>
        <v>16.7</v>
      </c>
      <c r="C114" s="30">
        <f>iferror(VLOOKUP(A114,fpros!A:C,3,false), "NOT ACTIVE")</f>
        <v>0</v>
      </c>
      <c r="D114" s="56">
        <f t="shared" si="1"/>
        <v>8.35</v>
      </c>
    </row>
    <row r="115">
      <c r="A115" s="1" t="s">
        <v>142</v>
      </c>
      <c r="B115" s="30">
        <f>iferror(VLOOKUP(A115,numfire!A:B,2,false), "NOT ACTIVE")</f>
        <v>20.6</v>
      </c>
      <c r="C115" s="30" t="str">
        <f>iferror(VLOOKUP(A115,fpros!A:C,3,false), "NOT ACTIVE")</f>
        <v>NOT ACTIVE</v>
      </c>
      <c r="D115" s="56" t="str">
        <f t="shared" si="1"/>
        <v>NOT ACTIVE</v>
      </c>
    </row>
    <row r="116">
      <c r="A116" s="1" t="s">
        <v>143</v>
      </c>
      <c r="B116" s="30">
        <f>iferror(VLOOKUP(A116,numfire!A:B,2,false), "NOT ACTIVE")</f>
        <v>17.2</v>
      </c>
      <c r="C116" s="30" t="str">
        <f>iferror(VLOOKUP(A116,fpros!A:C,3,false), "NOT ACTIVE")</f>
        <v>NOT ACTIVE</v>
      </c>
      <c r="D116" s="56" t="str">
        <f t="shared" si="1"/>
        <v>NOT ACTIVE</v>
      </c>
    </row>
    <row r="117">
      <c r="A117" s="1" t="s">
        <v>144</v>
      </c>
      <c r="B117" s="30" t="str">
        <f>iferror(VLOOKUP(A117,numfire!A:B,2,false), "NOT ACTIVE")</f>
        <v>NOT ACTIVE</v>
      </c>
      <c r="C117" s="30">
        <f>iferror(VLOOKUP(A117,fpros!A:C,3,false), "NOT ACTIVE")</f>
        <v>0</v>
      </c>
      <c r="D117" s="56" t="str">
        <f t="shared" si="1"/>
        <v>NOT ACTIVE</v>
      </c>
    </row>
    <row r="118">
      <c r="A118" s="1" t="s">
        <v>145</v>
      </c>
      <c r="B118" s="30">
        <f>iferror(VLOOKUP(A118,numfire!A:B,2,false), "NOT ACTIVE")</f>
        <v>16.9</v>
      </c>
      <c r="C118" s="30">
        <f>iferror(VLOOKUP(A118,fpros!A:C,3,false), "NOT ACTIVE")</f>
        <v>13.3</v>
      </c>
      <c r="D118" s="56">
        <f t="shared" si="1"/>
        <v>15.1</v>
      </c>
    </row>
    <row r="119">
      <c r="A119" s="1" t="s">
        <v>146</v>
      </c>
      <c r="B119" s="30">
        <f>iferror(VLOOKUP(A119,numfire!A:B,2,false), "NOT ACTIVE")</f>
        <v>14.1</v>
      </c>
      <c r="C119" s="30" t="str">
        <f>iferror(VLOOKUP(A119,fpros!A:C,3,false), "NOT ACTIVE")</f>
        <v>NOT ACTIVE</v>
      </c>
      <c r="D119" s="56" t="str">
        <f t="shared" si="1"/>
        <v>NOT ACTIVE</v>
      </c>
    </row>
    <row r="120">
      <c r="A120" s="1" t="s">
        <v>147</v>
      </c>
      <c r="B120" s="30" t="str">
        <f>iferror(VLOOKUP(A120,numfire!A:B,2,false), "NOT ACTIVE")</f>
        <v>NOT ACTIVE</v>
      </c>
      <c r="C120" s="30">
        <f>iferror(VLOOKUP(A120,fpros!A:C,3,false), "NOT ACTIVE")</f>
        <v>0</v>
      </c>
      <c r="D120" s="56" t="str">
        <f t="shared" si="1"/>
        <v>NOT ACTIVE</v>
      </c>
    </row>
    <row r="121">
      <c r="A121" s="1" t="s">
        <v>148</v>
      </c>
      <c r="B121" s="30">
        <f>iferror(VLOOKUP(A121,numfire!A:B,2,false), "NOT ACTIVE")</f>
        <v>19.1</v>
      </c>
      <c r="C121" s="30">
        <f>iferror(VLOOKUP(A121,fpros!A:C,3,false), "NOT ACTIVE")</f>
        <v>0</v>
      </c>
      <c r="D121" s="56">
        <f t="shared" si="1"/>
        <v>9.55</v>
      </c>
    </row>
    <row r="122">
      <c r="A122" s="1" t="s">
        <v>149</v>
      </c>
      <c r="B122" s="30">
        <f>iferror(VLOOKUP(A122,numfire!A:B,2,false), "NOT ACTIVE")</f>
        <v>0</v>
      </c>
      <c r="C122" s="30">
        <f>iferror(VLOOKUP(A122,fpros!A:C,3,false), "NOT ACTIVE")</f>
        <v>0</v>
      </c>
      <c r="D122" s="56">
        <f t="shared" si="1"/>
        <v>0</v>
      </c>
    </row>
    <row r="123">
      <c r="A123" s="1" t="s">
        <v>150</v>
      </c>
      <c r="B123" s="30">
        <f>iferror(VLOOKUP(A123,numfire!A:B,2,false), "NOT ACTIVE")</f>
        <v>14.2</v>
      </c>
      <c r="C123" s="30">
        <f>iferror(VLOOKUP(A123,fpros!A:C,3,false), "NOT ACTIVE")</f>
        <v>0</v>
      </c>
      <c r="D123" s="56">
        <f t="shared" si="1"/>
        <v>7.1</v>
      </c>
    </row>
    <row r="124">
      <c r="A124" s="1" t="s">
        <v>151</v>
      </c>
      <c r="B124" s="30">
        <f>iferror(VLOOKUP(A124,numfire!A:B,2,false), "NOT ACTIVE")</f>
        <v>11.3</v>
      </c>
      <c r="C124" s="30">
        <f>iferror(VLOOKUP(A124,fpros!A:C,3,false), "NOT ACTIVE")</f>
        <v>8.2</v>
      </c>
      <c r="D124" s="56">
        <f t="shared" si="1"/>
        <v>9.75</v>
      </c>
    </row>
    <row r="125">
      <c r="A125" s="1" t="s">
        <v>152</v>
      </c>
      <c r="B125" s="30" t="str">
        <f>iferror(VLOOKUP(A125,numfire!A:B,2,false), "NOT ACTIVE")</f>
        <v>NOT ACTIVE</v>
      </c>
      <c r="C125" s="30">
        <f>iferror(VLOOKUP(A125,fpros!A:C,3,false), "NOT ACTIVE")</f>
        <v>16.7</v>
      </c>
      <c r="D125" s="56" t="str">
        <f t="shared" si="1"/>
        <v>NOT ACTIVE</v>
      </c>
    </row>
    <row r="126">
      <c r="A126" s="1" t="s">
        <v>153</v>
      </c>
      <c r="B126" s="30">
        <f>iferror(VLOOKUP(A126,numfire!A:B,2,false), "NOT ACTIVE")</f>
        <v>0.9</v>
      </c>
      <c r="C126" s="30" t="str">
        <f>iferror(VLOOKUP(A126,fpros!A:C,3,false), "NOT ACTIVE")</f>
        <v>NOT ACTIVE</v>
      </c>
      <c r="D126" s="56" t="str">
        <f t="shared" si="1"/>
        <v>NOT ACTIVE</v>
      </c>
    </row>
    <row r="127">
      <c r="A127" s="1" t="s">
        <v>154</v>
      </c>
      <c r="B127" s="30">
        <f>iferror(VLOOKUP(A127,numfire!A:B,2,false), "NOT ACTIVE")</f>
        <v>0</v>
      </c>
      <c r="C127" s="30" t="str">
        <f>iferror(VLOOKUP(A127,fpros!A:C,3,false), "NOT ACTIVE")</f>
        <v>NOT ACTIVE</v>
      </c>
      <c r="D127" s="56" t="str">
        <f t="shared" si="1"/>
        <v>NOT ACTIVE</v>
      </c>
    </row>
    <row r="128">
      <c r="A128" s="1" t="s">
        <v>155</v>
      </c>
      <c r="B128" s="30" t="str">
        <f>iferror(VLOOKUP(A128,numfire!A:B,2,false), "NOT ACTIVE")</f>
        <v>NOT ACTIVE</v>
      </c>
      <c r="C128" s="30" t="str">
        <f>iferror(VLOOKUP(A128,fpros!A:C,3,false), "NOT ACTIVE")</f>
        <v>NOT ACTIVE</v>
      </c>
      <c r="D128" s="56" t="str">
        <f t="shared" si="1"/>
        <v>NOT ACTIVE</v>
      </c>
    </row>
    <row r="129">
      <c r="A129" s="1" t="s">
        <v>156</v>
      </c>
      <c r="B129" s="30">
        <f>iferror(VLOOKUP(A129,numfire!A:B,2,false), "NOT ACTIVE")</f>
        <v>0</v>
      </c>
      <c r="C129" s="30">
        <f>iferror(VLOOKUP(A129,fpros!A:C,3,false), "NOT ACTIVE")</f>
        <v>12.5</v>
      </c>
      <c r="D129" s="56">
        <f t="shared" si="1"/>
        <v>6.25</v>
      </c>
    </row>
    <row r="130">
      <c r="A130" s="1" t="s">
        <v>157</v>
      </c>
      <c r="B130" s="30" t="str">
        <f>iferror(VLOOKUP(A130,numfire!A:B,2,false), "NOT ACTIVE")</f>
        <v>NOT ACTIVE</v>
      </c>
      <c r="C130" s="30" t="str">
        <f>iferror(VLOOKUP(A130,fpros!A:C,3,false), "NOT ACTIVE")</f>
        <v>NOT ACTIVE</v>
      </c>
      <c r="D130" s="56" t="str">
        <f t="shared" si="1"/>
        <v>NOT ACTIVE</v>
      </c>
    </row>
    <row r="131">
      <c r="A131" s="1" t="s">
        <v>158</v>
      </c>
      <c r="B131" s="30">
        <f>iferror(VLOOKUP(A131,numfire!A:B,2,false), "NOT ACTIVE")</f>
        <v>0.9</v>
      </c>
      <c r="C131" s="30">
        <f>iferror(VLOOKUP(A131,fpros!A:C,3,false), "NOT ACTIVE")</f>
        <v>0</v>
      </c>
      <c r="D131" s="56">
        <f t="shared" si="1"/>
        <v>0.45</v>
      </c>
    </row>
    <row r="132">
      <c r="A132" s="1" t="s">
        <v>159</v>
      </c>
      <c r="B132" s="30">
        <f>iferror(VLOOKUP(A132,numfire!A:B,2,false), "NOT ACTIVE")</f>
        <v>6.2</v>
      </c>
      <c r="C132" s="30">
        <f>iferror(VLOOKUP(A132,fpros!A:C,3,false), "NOT ACTIVE")</f>
        <v>14</v>
      </c>
      <c r="D132" s="56">
        <f t="shared" si="1"/>
        <v>10.1</v>
      </c>
    </row>
    <row r="133">
      <c r="A133" s="1" t="s">
        <v>160</v>
      </c>
      <c r="B133" s="30">
        <f>iferror(VLOOKUP(A133,numfire!A:B,2,false), "NOT ACTIVE")</f>
        <v>0</v>
      </c>
      <c r="C133" s="30" t="str">
        <f>iferror(VLOOKUP(A133,fpros!A:C,3,false), "NOT ACTIVE")</f>
        <v>NOT ACTIVE</v>
      </c>
      <c r="D133" s="56" t="str">
        <f t="shared" si="1"/>
        <v>NOT ACTIVE</v>
      </c>
    </row>
    <row r="134">
      <c r="A134" s="1" t="s">
        <v>161</v>
      </c>
      <c r="B134" s="30">
        <f>iferror(VLOOKUP(A134,numfire!A:B,2,false), "NOT ACTIVE")</f>
        <v>15.9</v>
      </c>
      <c r="C134" s="30" t="str">
        <f>iferror(VLOOKUP(A134,fpros!A:C,3,false), "NOT ACTIVE")</f>
        <v>NOT ACTIVE</v>
      </c>
      <c r="D134" s="56" t="str">
        <f t="shared" si="1"/>
        <v>NOT ACTIVE</v>
      </c>
    </row>
    <row r="135">
      <c r="A135" s="1" t="s">
        <v>162</v>
      </c>
      <c r="B135" s="30">
        <f>iferror(VLOOKUP(A135,numfire!A:B,2,false), "NOT ACTIVE")</f>
        <v>0.3</v>
      </c>
      <c r="C135" s="30">
        <f>iferror(VLOOKUP(A135,fpros!A:C,3,false), "NOT ACTIVE")</f>
        <v>11.8</v>
      </c>
      <c r="D135" s="56">
        <f t="shared" si="1"/>
        <v>6.05</v>
      </c>
    </row>
    <row r="136">
      <c r="A136" s="1" t="s">
        <v>163</v>
      </c>
      <c r="B136" s="30">
        <f>iferror(VLOOKUP(A136,numfire!A:B,2,false), "NOT ACTIVE")</f>
        <v>0</v>
      </c>
      <c r="C136" s="30">
        <f>iferror(VLOOKUP(A136,fpros!A:C,3,false), "NOT ACTIVE")</f>
        <v>0</v>
      </c>
      <c r="D136" s="56">
        <f t="shared" si="1"/>
        <v>0</v>
      </c>
    </row>
    <row r="137">
      <c r="A137" s="1" t="s">
        <v>164</v>
      </c>
      <c r="B137" s="30" t="str">
        <f>iferror(VLOOKUP(A137,numfire!A:B,2,false), "NOT ACTIVE")</f>
        <v>NOT ACTIVE</v>
      </c>
      <c r="C137" s="30">
        <f>iferror(VLOOKUP(A137,fpros!A:C,3,false), "NOT ACTIVE")</f>
        <v>11.8</v>
      </c>
      <c r="D137" s="56" t="str">
        <f t="shared" si="1"/>
        <v>NOT ACTIVE</v>
      </c>
    </row>
    <row r="138">
      <c r="A138" s="1" t="s">
        <v>165</v>
      </c>
      <c r="B138" s="30">
        <f>iferror(VLOOKUP(A138,numfire!A:B,2,false), "NOT ACTIVE")</f>
        <v>8.4</v>
      </c>
      <c r="C138" s="30">
        <f>iferror(VLOOKUP(A138,fpros!A:C,3,false), "NOT ACTIVE")</f>
        <v>0</v>
      </c>
      <c r="D138" s="56">
        <f t="shared" si="1"/>
        <v>4.2</v>
      </c>
    </row>
    <row r="139">
      <c r="A139" s="1" t="s">
        <v>166</v>
      </c>
      <c r="B139" s="30">
        <f>iferror(VLOOKUP(A139,numfire!A:B,2,false), "NOT ACTIVE")</f>
        <v>11.9</v>
      </c>
      <c r="C139" s="30">
        <f>iferror(VLOOKUP(A139,fpros!A:C,3,false), "NOT ACTIVE")</f>
        <v>0</v>
      </c>
      <c r="D139" s="56">
        <f t="shared" si="1"/>
        <v>5.95</v>
      </c>
    </row>
    <row r="140">
      <c r="A140" s="1" t="s">
        <v>167</v>
      </c>
      <c r="B140" s="30" t="str">
        <f>iferror(VLOOKUP(A140,numfire!A:B,2,false), "NOT ACTIVE")</f>
        <v>NOT ACTIVE</v>
      </c>
      <c r="C140" s="30" t="str">
        <f>iferror(VLOOKUP(A140,fpros!A:C,3,false), "NOT ACTIVE")</f>
        <v>NOT ACTIVE</v>
      </c>
      <c r="D140" s="56" t="str">
        <f t="shared" si="1"/>
        <v>NOT ACTIVE</v>
      </c>
    </row>
    <row r="141">
      <c r="A141" s="1" t="s">
        <v>168</v>
      </c>
      <c r="B141" s="30">
        <f>iferror(VLOOKUP(A141,numfire!A:B,2,false), "NOT ACTIVE")</f>
        <v>0</v>
      </c>
      <c r="C141" s="30">
        <f>iferror(VLOOKUP(A141,fpros!A:C,3,false), "NOT ACTIVE")</f>
        <v>0</v>
      </c>
      <c r="D141" s="56">
        <f t="shared" si="1"/>
        <v>0</v>
      </c>
    </row>
    <row r="142">
      <c r="A142" s="1" t="s">
        <v>169</v>
      </c>
      <c r="B142" s="30">
        <f>iferror(VLOOKUP(A142,numfire!A:B,2,false), "NOT ACTIVE")</f>
        <v>0.2</v>
      </c>
      <c r="C142" s="30">
        <f>iferror(VLOOKUP(A142,fpros!A:C,3,false), "NOT ACTIVE")</f>
        <v>0</v>
      </c>
      <c r="D142" s="56">
        <f t="shared" si="1"/>
        <v>0.1</v>
      </c>
    </row>
    <row r="143">
      <c r="A143" s="1" t="s">
        <v>170</v>
      </c>
      <c r="B143" s="30">
        <f>iferror(VLOOKUP(A143,numfire!A:B,2,false), "NOT ACTIVE")</f>
        <v>4.5</v>
      </c>
      <c r="C143" s="30" t="str">
        <f>iferror(VLOOKUP(A143,fpros!A:C,3,false), "NOT ACTIVE")</f>
        <v>NOT ACTIVE</v>
      </c>
      <c r="D143" s="56" t="str">
        <f t="shared" si="1"/>
        <v>NOT ACTIVE</v>
      </c>
    </row>
    <row r="144">
      <c r="A144" s="1" t="s">
        <v>171</v>
      </c>
      <c r="B144" s="30" t="str">
        <f>iferror(VLOOKUP(A144,numfire!A:B,2,false), "NOT ACTIVE")</f>
        <v>NOT ACTIVE</v>
      </c>
      <c r="C144" s="30">
        <f>iferror(VLOOKUP(A144,fpros!A:C,3,false), "NOT ACTIVE")</f>
        <v>0</v>
      </c>
      <c r="D144" s="56" t="str">
        <f t="shared" si="1"/>
        <v>NOT ACTIVE</v>
      </c>
    </row>
    <row r="145">
      <c r="A145" s="1" t="s">
        <v>172</v>
      </c>
      <c r="B145" s="30" t="str">
        <f>iferror(VLOOKUP(A145,numfire!A:B,2,false), "NOT ACTIVE")</f>
        <v>NOT ACTIVE</v>
      </c>
      <c r="C145" s="30">
        <f>iferror(VLOOKUP(A145,fpros!A:C,3,false), "NOT ACTIVE")</f>
        <v>0</v>
      </c>
      <c r="D145" s="56" t="str">
        <f t="shared" si="1"/>
        <v>NOT ACTIVE</v>
      </c>
    </row>
    <row r="146">
      <c r="A146" s="1" t="s">
        <v>173</v>
      </c>
      <c r="B146" s="30">
        <f>iferror(VLOOKUP(A146,numfire!A:B,2,false), "NOT ACTIVE")</f>
        <v>0.3</v>
      </c>
      <c r="C146" s="30">
        <f>iferror(VLOOKUP(A146,fpros!A:C,3,false), "NOT ACTIVE")</f>
        <v>0</v>
      </c>
      <c r="D146" s="56">
        <f t="shared" si="1"/>
        <v>0.15</v>
      </c>
    </row>
    <row r="147">
      <c r="A147" s="1" t="s">
        <v>174</v>
      </c>
      <c r="B147" s="30" t="str">
        <f>iferror(VLOOKUP(A147,numfire!A:B,2,false), "NOT ACTIVE")</f>
        <v>NOT ACTIVE</v>
      </c>
      <c r="C147" s="30" t="str">
        <f>iferror(VLOOKUP(A147,fpros!A:C,3,false), "NOT ACTIVE")</f>
        <v>NOT ACTIVE</v>
      </c>
      <c r="D147" s="56" t="str">
        <f t="shared" si="1"/>
        <v>NOT ACTIVE</v>
      </c>
    </row>
    <row r="148">
      <c r="A148" s="1" t="s">
        <v>175</v>
      </c>
      <c r="B148" s="30">
        <f>iferror(VLOOKUP(A148,numfire!A:B,2,false), "NOT ACTIVE")</f>
        <v>0.8</v>
      </c>
      <c r="C148" s="30">
        <f>iferror(VLOOKUP(A148,fpros!A:C,3,false), "NOT ACTIVE")</f>
        <v>0</v>
      </c>
      <c r="D148" s="56">
        <f t="shared" si="1"/>
        <v>0.4</v>
      </c>
    </row>
    <row r="149">
      <c r="A149" s="1" t="s">
        <v>176</v>
      </c>
      <c r="B149" s="30">
        <f>iferror(VLOOKUP(A149,numfire!A:B,2,false), "NOT ACTIVE")</f>
        <v>12.8</v>
      </c>
      <c r="C149" s="30">
        <f>iferror(VLOOKUP(A149,fpros!A:C,3,false), "NOT ACTIVE")</f>
        <v>13</v>
      </c>
      <c r="D149" s="56">
        <f t="shared" si="1"/>
        <v>12.9</v>
      </c>
    </row>
    <row r="150">
      <c r="A150" s="1" t="s">
        <v>177</v>
      </c>
      <c r="B150" s="30">
        <f>iferror(VLOOKUP(A150,numfire!A:B,2,false), "NOT ACTIVE")</f>
        <v>8.6</v>
      </c>
      <c r="C150" s="30">
        <f>iferror(VLOOKUP(A150,fpros!A:C,3,false), "NOT ACTIVE")</f>
        <v>6.1</v>
      </c>
      <c r="D150" s="56">
        <f t="shared" si="1"/>
        <v>7.35</v>
      </c>
    </row>
    <row r="151">
      <c r="A151" s="1" t="s">
        <v>178</v>
      </c>
      <c r="B151" s="30">
        <f>iferror(VLOOKUP(A151,numfire!A:B,2,false), "NOT ACTIVE")</f>
        <v>0.4</v>
      </c>
      <c r="C151" s="30">
        <f>iferror(VLOOKUP(A151,fpros!A:C,3,false), "NOT ACTIVE")</f>
        <v>0</v>
      </c>
      <c r="D151" s="56">
        <f t="shared" si="1"/>
        <v>0.2</v>
      </c>
    </row>
    <row r="152">
      <c r="A152" s="1" t="s">
        <v>179</v>
      </c>
      <c r="B152" s="30">
        <f>iferror(VLOOKUP(A152,numfire!A:B,2,false), "NOT ACTIVE")</f>
        <v>0.1</v>
      </c>
      <c r="C152" s="30">
        <f>iferror(VLOOKUP(A152,fpros!A:C,3,false), "NOT ACTIVE")</f>
        <v>0</v>
      </c>
      <c r="D152" s="56">
        <f t="shared" si="1"/>
        <v>0.05</v>
      </c>
    </row>
    <row r="153">
      <c r="A153" s="1" t="s">
        <v>180</v>
      </c>
      <c r="B153" s="30">
        <f>iferror(VLOOKUP(A153,numfire!A:B,2,false), "NOT ACTIVE")</f>
        <v>0</v>
      </c>
      <c r="C153" s="30" t="str">
        <f>iferror(VLOOKUP(A153,fpros!A:C,3,false), "NOT ACTIVE")</f>
        <v>NOT ACTIVE</v>
      </c>
      <c r="D153" s="56" t="str">
        <f t="shared" si="1"/>
        <v>NOT ACTIVE</v>
      </c>
    </row>
    <row r="154">
      <c r="A154" s="1" t="s">
        <v>181</v>
      </c>
      <c r="B154" s="30">
        <f>iferror(VLOOKUP(A154,numfire!A:B,2,false), "NOT ACTIVE")</f>
        <v>4.5</v>
      </c>
      <c r="C154" s="30">
        <f>iferror(VLOOKUP(A154,fpros!A:C,3,false), "NOT ACTIVE")</f>
        <v>11.2</v>
      </c>
      <c r="D154" s="56">
        <f t="shared" si="1"/>
        <v>7.85</v>
      </c>
    </row>
    <row r="155">
      <c r="A155" s="1" t="s">
        <v>182</v>
      </c>
      <c r="B155" s="30">
        <f>iferror(VLOOKUP(A155,numfire!A:B,2,false), "NOT ACTIVE")</f>
        <v>0</v>
      </c>
      <c r="C155" s="30" t="str">
        <f>iferror(VLOOKUP(A155,fpros!A:C,3,false), "NOT ACTIVE")</f>
        <v>NOT ACTIVE</v>
      </c>
      <c r="D155" s="56" t="str">
        <f t="shared" si="1"/>
        <v>NOT ACTIVE</v>
      </c>
    </row>
    <row r="156">
      <c r="A156" s="1" t="s">
        <v>183</v>
      </c>
      <c r="B156" s="30">
        <f>iferror(VLOOKUP(A156,numfire!A:B,2,false), "NOT ACTIVE")</f>
        <v>4.4</v>
      </c>
      <c r="C156" s="30" t="str">
        <f>iferror(VLOOKUP(A156,fpros!A:C,3,false), "NOT ACTIVE")</f>
        <v>NOT ACTIVE</v>
      </c>
      <c r="D156" s="56" t="str">
        <f t="shared" si="1"/>
        <v>NOT ACTIVE</v>
      </c>
    </row>
    <row r="157">
      <c r="A157" s="1" t="s">
        <v>184</v>
      </c>
      <c r="B157" s="30" t="str">
        <f>iferror(VLOOKUP(A157,numfire!A:B,2,false), "NOT ACTIVE")</f>
        <v>NOT ACTIVE</v>
      </c>
      <c r="C157" s="30">
        <f>iferror(VLOOKUP(A157,fpros!A:C,3,false), "NOT ACTIVE")</f>
        <v>0</v>
      </c>
      <c r="D157" s="56" t="str">
        <f t="shared" si="1"/>
        <v>NOT ACTIVE</v>
      </c>
    </row>
    <row r="158">
      <c r="A158" s="1" t="s">
        <v>185</v>
      </c>
      <c r="B158" s="30">
        <f>iferror(VLOOKUP(A158,numfire!A:B,2,false), "NOT ACTIVE")</f>
        <v>6.1</v>
      </c>
      <c r="C158" s="30">
        <f>iferror(VLOOKUP(A158,fpros!A:C,3,false), "NOT ACTIVE")</f>
        <v>0</v>
      </c>
      <c r="D158" s="56">
        <f t="shared" si="1"/>
        <v>3.05</v>
      </c>
    </row>
    <row r="159">
      <c r="A159" s="1" t="s">
        <v>186</v>
      </c>
      <c r="B159" s="30">
        <f>iferror(VLOOKUP(A159,numfire!A:B,2,false), "NOT ACTIVE")</f>
        <v>9.1</v>
      </c>
      <c r="C159" s="30" t="str">
        <f>iferror(VLOOKUP(A159,fpros!A:C,3,false), "NOT ACTIVE")</f>
        <v>NOT ACTIVE</v>
      </c>
      <c r="D159" s="56" t="str">
        <f t="shared" si="1"/>
        <v>NOT ACTIVE</v>
      </c>
    </row>
    <row r="160">
      <c r="A160" s="1" t="s">
        <v>187</v>
      </c>
      <c r="B160" s="30">
        <f>iferror(VLOOKUP(A160,numfire!A:B,2,false), "NOT ACTIVE")</f>
        <v>0.2</v>
      </c>
      <c r="C160" s="30">
        <f>iferror(VLOOKUP(A160,fpros!A:C,3,false), "NOT ACTIVE")</f>
        <v>0</v>
      </c>
      <c r="D160" s="56">
        <f t="shared" si="1"/>
        <v>0.1</v>
      </c>
    </row>
    <row r="161">
      <c r="A161" s="1" t="s">
        <v>188</v>
      </c>
      <c r="B161" s="30" t="str">
        <f>iferror(VLOOKUP(A161,numfire!A:B,2,false), "NOT ACTIVE")</f>
        <v>NOT ACTIVE</v>
      </c>
      <c r="C161" s="30">
        <f>iferror(VLOOKUP(A161,fpros!A:C,3,false), "NOT ACTIVE")</f>
        <v>0</v>
      </c>
      <c r="D161" s="56" t="str">
        <f t="shared" si="1"/>
        <v>NOT ACTIVE</v>
      </c>
    </row>
    <row r="162">
      <c r="A162" s="1" t="s">
        <v>189</v>
      </c>
      <c r="B162" s="30">
        <f>iferror(VLOOKUP(A162,numfire!A:B,2,false), "NOT ACTIVE")</f>
        <v>4.5</v>
      </c>
      <c r="C162" s="30" t="str">
        <f>iferror(VLOOKUP(A162,fpros!A:C,3,false), "NOT ACTIVE")</f>
        <v>NOT ACTIVE</v>
      </c>
      <c r="D162" s="56" t="str">
        <f t="shared" si="1"/>
        <v>NOT ACTIVE</v>
      </c>
    </row>
    <row r="163">
      <c r="A163" s="1" t="s">
        <v>190</v>
      </c>
      <c r="B163" s="30">
        <f>iferror(VLOOKUP(A163,numfire!A:B,2,false), "NOT ACTIVE")</f>
        <v>1</v>
      </c>
      <c r="C163" s="30">
        <f>iferror(VLOOKUP(A163,fpros!A:C,3,false), "NOT ACTIVE")</f>
        <v>0</v>
      </c>
      <c r="D163" s="56">
        <f t="shared" si="1"/>
        <v>0.5</v>
      </c>
    </row>
    <row r="164">
      <c r="A164" s="1" t="s">
        <v>191</v>
      </c>
      <c r="B164" s="30">
        <f>iferror(VLOOKUP(A164,numfire!A:B,2,false), "NOT ACTIVE")</f>
        <v>4.3</v>
      </c>
      <c r="C164" s="30">
        <f>iferror(VLOOKUP(A164,fpros!A:C,3,false), "NOT ACTIVE")</f>
        <v>0</v>
      </c>
      <c r="D164" s="56">
        <f t="shared" si="1"/>
        <v>2.15</v>
      </c>
    </row>
    <row r="165">
      <c r="A165" s="1" t="s">
        <v>192</v>
      </c>
      <c r="B165" s="30" t="str">
        <f>iferror(VLOOKUP(A165,numfire!A:B,2,false), "NOT ACTIVE")</f>
        <v>NOT ACTIVE</v>
      </c>
      <c r="C165" s="30">
        <f>iferror(VLOOKUP(A165,fpros!A:C,3,false), "NOT ACTIVE")</f>
        <v>0</v>
      </c>
      <c r="D165" s="56" t="str">
        <f t="shared" si="1"/>
        <v>NOT ACTIVE</v>
      </c>
    </row>
    <row r="166">
      <c r="A166" s="1" t="s">
        <v>193</v>
      </c>
      <c r="B166" s="30">
        <f>iferror(VLOOKUP(A166,numfire!A:B,2,false), "NOT ACTIVE")</f>
        <v>2.2</v>
      </c>
      <c r="C166" s="30">
        <f>iferror(VLOOKUP(A166,fpros!A:C,3,false), "NOT ACTIVE")</f>
        <v>7.6</v>
      </c>
      <c r="D166" s="56">
        <f t="shared" si="1"/>
        <v>4.9</v>
      </c>
    </row>
    <row r="167">
      <c r="A167" s="1" t="s">
        <v>194</v>
      </c>
      <c r="B167" s="30">
        <f>iferror(VLOOKUP(A167,numfire!A:B,2,false), "NOT ACTIVE")</f>
        <v>0.2</v>
      </c>
      <c r="C167" s="30" t="str">
        <f>iferror(VLOOKUP(A167,fpros!A:C,3,false), "NOT ACTIVE")</f>
        <v>NOT ACTIVE</v>
      </c>
      <c r="D167" s="56" t="str">
        <f t="shared" si="1"/>
        <v>NOT ACTIVE</v>
      </c>
    </row>
    <row r="168">
      <c r="A168" s="1" t="s">
        <v>195</v>
      </c>
      <c r="B168" s="30">
        <f>iferror(VLOOKUP(A168,numfire!A:B,2,false), "NOT ACTIVE")</f>
        <v>2</v>
      </c>
      <c r="C168" s="30">
        <f>iferror(VLOOKUP(A168,fpros!A:C,3,false), "NOT ACTIVE")</f>
        <v>0</v>
      </c>
      <c r="D168" s="56">
        <f t="shared" si="1"/>
        <v>1</v>
      </c>
    </row>
    <row r="169">
      <c r="A169" s="1" t="s">
        <v>196</v>
      </c>
      <c r="B169" s="30">
        <f>iferror(VLOOKUP(A169,numfire!A:B,2,false), "NOT ACTIVE")</f>
        <v>0.1</v>
      </c>
      <c r="C169" s="30" t="str">
        <f>iferror(VLOOKUP(A169,fpros!A:C,3,false), "NOT ACTIVE")</f>
        <v>NOT ACTIVE</v>
      </c>
      <c r="D169" s="56" t="str">
        <f t="shared" si="1"/>
        <v>NOT ACTIVE</v>
      </c>
    </row>
    <row r="170">
      <c r="A170" s="1" t="s">
        <v>197</v>
      </c>
      <c r="B170" s="30">
        <f>iferror(VLOOKUP(A170,numfire!A:B,2,false), "NOT ACTIVE")</f>
        <v>1.6</v>
      </c>
      <c r="C170" s="30">
        <f>iferror(VLOOKUP(A170,fpros!A:C,3,false), "NOT ACTIVE")</f>
        <v>0</v>
      </c>
      <c r="D170" s="56">
        <f t="shared" si="1"/>
        <v>0.8</v>
      </c>
    </row>
    <row r="171">
      <c r="A171" s="1" t="s">
        <v>198</v>
      </c>
      <c r="B171" s="30" t="str">
        <f>iferror(VLOOKUP(A171,numfire!A:B,2,false), "NOT ACTIVE")</f>
        <v>NOT ACTIVE</v>
      </c>
      <c r="C171" s="30">
        <f>iferror(VLOOKUP(A171,fpros!A:C,3,false), "NOT ACTIVE")</f>
        <v>10.8</v>
      </c>
      <c r="D171" s="56" t="str">
        <f t="shared" si="1"/>
        <v>NOT ACTIVE</v>
      </c>
    </row>
    <row r="172">
      <c r="A172" s="1" t="s">
        <v>199</v>
      </c>
      <c r="B172" s="30">
        <f>iferror(VLOOKUP(A172,numfire!A:B,2,false), "NOT ACTIVE")</f>
        <v>0</v>
      </c>
      <c r="C172" s="30">
        <f>iferror(VLOOKUP(A172,fpros!A:C,3,false), "NOT ACTIVE")</f>
        <v>0</v>
      </c>
      <c r="D172" s="56">
        <f t="shared" si="1"/>
        <v>0</v>
      </c>
    </row>
    <row r="173">
      <c r="A173" s="1" t="s">
        <v>200</v>
      </c>
      <c r="B173" s="30">
        <f>iferror(VLOOKUP(A173,numfire!A:B,2,false), "NOT ACTIVE")</f>
        <v>0.5</v>
      </c>
      <c r="C173" s="30" t="str">
        <f>iferror(VLOOKUP(A173,fpros!A:C,3,false), "NOT ACTIVE")</f>
        <v>NOT ACTIVE</v>
      </c>
      <c r="D173" s="56" t="str">
        <f t="shared" si="1"/>
        <v>NOT ACTIVE</v>
      </c>
    </row>
    <row r="174">
      <c r="A174" s="1" t="s">
        <v>201</v>
      </c>
      <c r="B174" s="30">
        <f>iferror(VLOOKUP(A174,numfire!A:B,2,false), "NOT ACTIVE")</f>
        <v>17</v>
      </c>
      <c r="C174" s="30">
        <f>iferror(VLOOKUP(A174,fpros!A:C,3,false), "NOT ACTIVE")</f>
        <v>0</v>
      </c>
      <c r="D174" s="56">
        <f t="shared" si="1"/>
        <v>8.5</v>
      </c>
    </row>
    <row r="175">
      <c r="A175" s="1" t="s">
        <v>202</v>
      </c>
      <c r="B175" s="30">
        <f>iferror(VLOOKUP(A175,numfire!A:B,2,false), "NOT ACTIVE")</f>
        <v>14.2</v>
      </c>
      <c r="C175" s="30">
        <f>iferror(VLOOKUP(A175,fpros!A:C,3,false), "NOT ACTIVE")</f>
        <v>11.6</v>
      </c>
      <c r="D175" s="56">
        <f t="shared" si="1"/>
        <v>12.9</v>
      </c>
    </row>
    <row r="176">
      <c r="A176" s="1" t="s">
        <v>203</v>
      </c>
      <c r="B176" s="30">
        <f>iferror(VLOOKUP(A176,numfire!A:B,2,false), "NOT ACTIVE")</f>
        <v>0.3</v>
      </c>
      <c r="C176" s="30" t="str">
        <f>iferror(VLOOKUP(A176,fpros!A:C,3,false), "NOT ACTIVE")</f>
        <v>NOT ACTIVE</v>
      </c>
      <c r="D176" s="56" t="str">
        <f t="shared" si="1"/>
        <v>NOT ACTIVE</v>
      </c>
    </row>
    <row r="177">
      <c r="A177" s="1" t="s">
        <v>204</v>
      </c>
      <c r="B177" s="30">
        <f>iferror(VLOOKUP(A177,numfire!A:B,2,false), "NOT ACTIVE")</f>
        <v>0</v>
      </c>
      <c r="C177" s="30">
        <f>iferror(VLOOKUP(A177,fpros!A:C,3,false), "NOT ACTIVE")</f>
        <v>0</v>
      </c>
      <c r="D177" s="56">
        <f t="shared" si="1"/>
        <v>0</v>
      </c>
    </row>
    <row r="178">
      <c r="A178" s="1" t="s">
        <v>205</v>
      </c>
      <c r="B178" s="30">
        <f>iferror(VLOOKUP(A178,numfire!A:B,2,false), "NOT ACTIVE")</f>
        <v>0</v>
      </c>
      <c r="C178" s="30" t="str">
        <f>iferror(VLOOKUP(A178,fpros!A:C,3,false), "NOT ACTIVE")</f>
        <v>NOT ACTIVE</v>
      </c>
      <c r="D178" s="56" t="str">
        <f t="shared" si="1"/>
        <v>NOT ACTIVE</v>
      </c>
    </row>
    <row r="179">
      <c r="A179" s="1" t="s">
        <v>206</v>
      </c>
      <c r="B179" s="30">
        <f>iferror(VLOOKUP(A179,numfire!A:B,2,false), "NOT ACTIVE")</f>
        <v>1.8</v>
      </c>
      <c r="C179" s="30" t="str">
        <f>iferror(VLOOKUP(A179,fpros!A:C,3,false), "NOT ACTIVE")</f>
        <v>NOT ACTIVE</v>
      </c>
      <c r="D179" s="56" t="str">
        <f t="shared" si="1"/>
        <v>NOT ACTIVE</v>
      </c>
    </row>
    <row r="180">
      <c r="A180" s="1" t="s">
        <v>207</v>
      </c>
      <c r="B180" s="30">
        <f>iferror(VLOOKUP(A180,numfire!A:B,2,false), "NOT ACTIVE")</f>
        <v>7.1</v>
      </c>
      <c r="C180" s="30">
        <f>iferror(VLOOKUP(A180,fpros!A:C,3,false), "NOT ACTIVE")</f>
        <v>8.7</v>
      </c>
      <c r="D180" s="56">
        <f t="shared" si="1"/>
        <v>7.9</v>
      </c>
    </row>
    <row r="181">
      <c r="A181" s="1" t="s">
        <v>208</v>
      </c>
      <c r="B181" s="30">
        <f>iferror(VLOOKUP(A181,numfire!A:B,2,false), "NOT ACTIVE")</f>
        <v>8.5</v>
      </c>
      <c r="C181" s="30">
        <f>iferror(VLOOKUP(A181,fpros!A:C,3,false), "NOT ACTIVE")</f>
        <v>0</v>
      </c>
      <c r="D181" s="56">
        <f t="shared" si="1"/>
        <v>4.25</v>
      </c>
    </row>
    <row r="182">
      <c r="A182" s="1" t="s">
        <v>209</v>
      </c>
      <c r="B182" s="30">
        <f>iferror(VLOOKUP(A182,numfire!A:B,2,false), "NOT ACTIVE")</f>
        <v>0</v>
      </c>
      <c r="C182" s="30">
        <f>iferror(VLOOKUP(A182,fpros!A:C,3,false), "NOT ACTIVE")</f>
        <v>0</v>
      </c>
      <c r="D182" s="56">
        <f t="shared" si="1"/>
        <v>0</v>
      </c>
    </row>
    <row r="183">
      <c r="A183" s="1" t="s">
        <v>210</v>
      </c>
      <c r="B183" s="30" t="str">
        <f>iferror(VLOOKUP(A183,numfire!A:B,2,false), "NOT ACTIVE")</f>
        <v>NOT ACTIVE</v>
      </c>
      <c r="C183" s="30" t="str">
        <f>iferror(VLOOKUP(A183,fpros!A:C,3,false), "NOT ACTIVE")</f>
        <v>NOT ACTIVE</v>
      </c>
      <c r="D183" s="56" t="str">
        <f t="shared" si="1"/>
        <v>NOT ACTIVE</v>
      </c>
    </row>
    <row r="184">
      <c r="A184" s="1" t="s">
        <v>211</v>
      </c>
      <c r="B184" s="30" t="str">
        <f>iferror(VLOOKUP(A184,numfire!A:B,2,false), "NOT ACTIVE")</f>
        <v>NOT ACTIVE</v>
      </c>
      <c r="C184" s="30" t="str">
        <f>iferror(VLOOKUP(A184,fpros!A:C,3,false), "NOT ACTIVE")</f>
        <v>NOT ACTIVE</v>
      </c>
      <c r="D184" s="56" t="str">
        <f t="shared" si="1"/>
        <v>NOT ACTIVE</v>
      </c>
    </row>
    <row r="185">
      <c r="A185" s="1" t="s">
        <v>212</v>
      </c>
      <c r="B185" s="30">
        <f>iferror(VLOOKUP(A185,numfire!A:B,2,false), "NOT ACTIVE")</f>
        <v>0.9</v>
      </c>
      <c r="C185" s="30">
        <f>iferror(VLOOKUP(A185,fpros!A:C,3,false), "NOT ACTIVE")</f>
        <v>0</v>
      </c>
      <c r="D185" s="56">
        <f t="shared" si="1"/>
        <v>0.45</v>
      </c>
    </row>
    <row r="186">
      <c r="A186" s="1" t="s">
        <v>213</v>
      </c>
      <c r="B186" s="30">
        <f>iferror(VLOOKUP(A186,numfire!A:B,2,false), "NOT ACTIVE")</f>
        <v>0</v>
      </c>
      <c r="C186" s="30">
        <f>iferror(VLOOKUP(A186,fpros!A:C,3,false), "NOT ACTIVE")</f>
        <v>6</v>
      </c>
      <c r="D186" s="56">
        <f t="shared" si="1"/>
        <v>3</v>
      </c>
    </row>
    <row r="187">
      <c r="A187" s="1" t="s">
        <v>214</v>
      </c>
      <c r="B187" s="30">
        <f>iferror(VLOOKUP(A187,numfire!A:B,2,false), "NOT ACTIVE")</f>
        <v>1.7</v>
      </c>
      <c r="C187" s="30">
        <f>iferror(VLOOKUP(A187,fpros!A:C,3,false), "NOT ACTIVE")</f>
        <v>0</v>
      </c>
      <c r="D187" s="56">
        <f t="shared" si="1"/>
        <v>0.85</v>
      </c>
    </row>
    <row r="188">
      <c r="A188" s="1" t="s">
        <v>215</v>
      </c>
      <c r="B188" s="30" t="str">
        <f>iferror(VLOOKUP(A188,numfire!A:B,2,false), "NOT ACTIVE")</f>
        <v>NOT ACTIVE</v>
      </c>
      <c r="C188" s="30">
        <f>iferror(VLOOKUP(A188,fpros!A:C,3,false), "NOT ACTIVE")</f>
        <v>0</v>
      </c>
      <c r="D188" s="56" t="str">
        <f t="shared" si="1"/>
        <v>NOT ACTIVE</v>
      </c>
    </row>
    <row r="189">
      <c r="A189" s="1" t="s">
        <v>216</v>
      </c>
      <c r="B189" s="30" t="str">
        <f>iferror(VLOOKUP(A189,numfire!A:B,2,false), "NOT ACTIVE")</f>
        <v>NOT ACTIVE</v>
      </c>
      <c r="C189" s="30" t="str">
        <f>iferror(VLOOKUP(A189,fpros!A:C,3,false), "NOT ACTIVE")</f>
        <v>NOT ACTIVE</v>
      </c>
      <c r="D189" s="56" t="str">
        <f t="shared" si="1"/>
        <v>NOT ACTIVE</v>
      </c>
    </row>
    <row r="190">
      <c r="A190" s="1" t="s">
        <v>217</v>
      </c>
      <c r="B190" s="30">
        <f>iferror(VLOOKUP(A190,numfire!A:B,2,false), "NOT ACTIVE")</f>
        <v>1.4</v>
      </c>
      <c r="C190" s="30" t="str">
        <f>iferror(VLOOKUP(A190,fpros!A:C,3,false), "NOT ACTIVE")</f>
        <v>NOT ACTIVE</v>
      </c>
      <c r="D190" s="56" t="str">
        <f t="shared" si="1"/>
        <v>NOT ACTIVE</v>
      </c>
    </row>
    <row r="191">
      <c r="A191" s="1" t="s">
        <v>218</v>
      </c>
      <c r="B191" s="30" t="str">
        <f>iferror(VLOOKUP(A191,numfire!A:B,2,false), "NOT ACTIVE")</f>
        <v>NOT ACTIVE</v>
      </c>
      <c r="C191" s="30" t="str">
        <f>iferror(VLOOKUP(A191,fpros!A:C,3,false), "NOT ACTIVE")</f>
        <v>NOT ACTIVE</v>
      </c>
      <c r="D191" s="56" t="str">
        <f t="shared" si="1"/>
        <v>NOT ACTIVE</v>
      </c>
    </row>
    <row r="192">
      <c r="A192" s="1" t="s">
        <v>219</v>
      </c>
      <c r="B192" s="30">
        <f>iferror(VLOOKUP(A192,numfire!A:B,2,false), "NOT ACTIVE")</f>
        <v>20.1</v>
      </c>
      <c r="C192" s="30">
        <f>iferror(VLOOKUP(A192,fpros!A:C,3,false), "NOT ACTIVE")</f>
        <v>0</v>
      </c>
      <c r="D192" s="56">
        <f t="shared" si="1"/>
        <v>10.05</v>
      </c>
    </row>
    <row r="193">
      <c r="A193" s="1" t="s">
        <v>220</v>
      </c>
      <c r="B193" s="30">
        <f>iferror(VLOOKUP(A193,numfire!A:B,2,false), "NOT ACTIVE")</f>
        <v>0</v>
      </c>
      <c r="C193" s="30">
        <f>iferror(VLOOKUP(A193,fpros!A:C,3,false), "NOT ACTIVE")</f>
        <v>0</v>
      </c>
      <c r="D193" s="56">
        <f t="shared" si="1"/>
        <v>0</v>
      </c>
    </row>
    <row r="194">
      <c r="A194" s="1" t="s">
        <v>221</v>
      </c>
      <c r="B194" s="30" t="str">
        <f>iferror(VLOOKUP(A194,numfire!A:B,2,false), "NOT ACTIVE")</f>
        <v>NOT ACTIVE</v>
      </c>
      <c r="C194" s="30">
        <f>iferror(VLOOKUP(A194,fpros!A:C,3,false), "NOT ACTIVE")</f>
        <v>0</v>
      </c>
      <c r="D194" s="56" t="str">
        <f t="shared" si="1"/>
        <v>NOT ACTIVE</v>
      </c>
    </row>
    <row r="195">
      <c r="A195" s="1" t="s">
        <v>222</v>
      </c>
      <c r="B195" s="30">
        <f>iferror(VLOOKUP(A195,numfire!A:B,2,false), "NOT ACTIVE")</f>
        <v>0.3</v>
      </c>
      <c r="C195" s="30">
        <f>iferror(VLOOKUP(A195,fpros!A:C,3,false), "NOT ACTIVE")</f>
        <v>7.1</v>
      </c>
      <c r="D195" s="56">
        <f t="shared" si="1"/>
        <v>3.7</v>
      </c>
    </row>
    <row r="196">
      <c r="A196" s="1" t="s">
        <v>223</v>
      </c>
      <c r="B196" s="30">
        <f>iferror(VLOOKUP(A196,numfire!A:B,2,false), "NOT ACTIVE")</f>
        <v>0</v>
      </c>
      <c r="C196" s="30">
        <f>iferror(VLOOKUP(A196,fpros!A:C,3,false), "NOT ACTIVE")</f>
        <v>4.6</v>
      </c>
      <c r="D196" s="56">
        <f t="shared" si="1"/>
        <v>2.3</v>
      </c>
    </row>
    <row r="197">
      <c r="A197" s="1" t="s">
        <v>224</v>
      </c>
      <c r="B197" s="30">
        <f>iferror(VLOOKUP(A197,numfire!A:B,2,false), "NOT ACTIVE")</f>
        <v>0</v>
      </c>
      <c r="C197" s="30">
        <f>iferror(VLOOKUP(A197,fpros!A:C,3,false), "NOT ACTIVE")</f>
        <v>14.3</v>
      </c>
      <c r="D197" s="56">
        <f t="shared" si="1"/>
        <v>7.15</v>
      </c>
    </row>
    <row r="198">
      <c r="A198" s="1" t="s">
        <v>225</v>
      </c>
      <c r="B198" s="30">
        <f>iferror(VLOOKUP(A198,numfire!A:B,2,false), "NOT ACTIVE")</f>
        <v>0</v>
      </c>
      <c r="C198" s="30">
        <f>iferror(VLOOKUP(A198,fpros!A:C,3,false), "NOT ACTIVE")</f>
        <v>0</v>
      </c>
      <c r="D198" s="56">
        <f t="shared" si="1"/>
        <v>0</v>
      </c>
    </row>
    <row r="199">
      <c r="A199" s="1" t="s">
        <v>226</v>
      </c>
      <c r="B199" s="30">
        <f>iferror(VLOOKUP(A199,numfire!A:B,2,false), "NOT ACTIVE")</f>
        <v>0</v>
      </c>
      <c r="C199" s="30">
        <f>iferror(VLOOKUP(A199,fpros!A:C,3,false), "NOT ACTIVE")</f>
        <v>0</v>
      </c>
      <c r="D199" s="56">
        <f t="shared" si="1"/>
        <v>0</v>
      </c>
    </row>
    <row r="200">
      <c r="A200" s="1" t="s">
        <v>227</v>
      </c>
      <c r="B200" s="30">
        <f>iferror(VLOOKUP(A200,numfire!A:B,2,false), "NOT ACTIVE")</f>
        <v>0.3</v>
      </c>
      <c r="C200" s="30">
        <f>iferror(VLOOKUP(A200,fpros!A:C,3,false), "NOT ACTIVE")</f>
        <v>0</v>
      </c>
      <c r="D200" s="56">
        <f t="shared" si="1"/>
        <v>0.15</v>
      </c>
    </row>
    <row r="201">
      <c r="A201" s="1" t="s">
        <v>228</v>
      </c>
      <c r="B201" s="30" t="str">
        <f>iferror(VLOOKUP(A201,numfire!A:B,2,false), "NOT ACTIVE")</f>
        <v>NOT ACTIVE</v>
      </c>
      <c r="C201" s="30" t="str">
        <f>iferror(VLOOKUP(A201,fpros!A:C,3,false), "NOT ACTIVE")</f>
        <v>NOT ACTIVE</v>
      </c>
      <c r="D201" s="56" t="str">
        <f t="shared" si="1"/>
        <v>NOT ACTIVE</v>
      </c>
    </row>
    <row r="202">
      <c r="A202" s="1"/>
      <c r="B202" s="30" t="str">
        <f>iferror(VLOOKUP(A202,numfire!A:B,2,false), "NOT ACTIVE")</f>
        <v>NOT ACTIVE</v>
      </c>
      <c r="C202" s="30" t="str">
        <f>iferror(VLOOKUP(A202,fpros!A:C,3,false), "NOT ACTIVE")</f>
        <v>NOT ACTIVE</v>
      </c>
      <c r="D202" s="56" t="str">
        <f t="shared" si="1"/>
        <v>NOT ACTIVE</v>
      </c>
    </row>
    <row r="203">
      <c r="A203" s="1"/>
      <c r="B203" s="30" t="str">
        <f>iferror(VLOOKUP(A203,numfire!A:B,2,false), "NOT ACTIVE")</f>
        <v>NOT ACTIVE</v>
      </c>
      <c r="C203" s="30" t="str">
        <f>iferror(VLOOKUP(A203,fpros!A:C,3,false), "NOT ACTIVE")</f>
        <v>NOT ACTIVE</v>
      </c>
      <c r="D203" s="56" t="str">
        <f t="shared" si="1"/>
        <v>NOT ACTIVE</v>
      </c>
    </row>
    <row r="204">
      <c r="A204" s="1"/>
      <c r="B204" s="30" t="str">
        <f>iferror(VLOOKUP(A204,numfire!A:B,2,false), "NOT ACTIVE")</f>
        <v>NOT ACTIVE</v>
      </c>
      <c r="C204" s="30" t="str">
        <f>iferror(VLOOKUP(A204,fpros!A:C,3,false), "NOT ACTIVE")</f>
        <v>NOT ACTIVE</v>
      </c>
      <c r="D204" s="56" t="str">
        <f t="shared" si="1"/>
        <v>NOT ACTIVE</v>
      </c>
    </row>
    <row r="205">
      <c r="A205" s="1"/>
      <c r="B205" s="30" t="str">
        <f>iferror(VLOOKUP(A205,numfire!A:B,2,false), "NOT ACTIVE")</f>
        <v>NOT ACTIVE</v>
      </c>
      <c r="C205" s="30" t="str">
        <f>iferror(VLOOKUP(A205,fpros!A:C,3,false), "NOT ACTIVE")</f>
        <v>NOT ACTIVE</v>
      </c>
      <c r="D205" s="56" t="str">
        <f t="shared" si="1"/>
        <v>NOT ACTIVE</v>
      </c>
    </row>
    <row r="206">
      <c r="A206" s="1"/>
      <c r="B206" s="30" t="str">
        <f>iferror(VLOOKUP(A206,numfire!A:B,2,false), "NOT ACTIVE")</f>
        <v>NOT ACTIVE</v>
      </c>
      <c r="C206" s="30" t="str">
        <f>iferror(VLOOKUP(A206,fpros!A:C,3,false), "NOT ACTIVE")</f>
        <v>NOT ACTIVE</v>
      </c>
      <c r="D206" s="56" t="str">
        <f t="shared" si="1"/>
        <v>NOT ACTIVE</v>
      </c>
    </row>
    <row r="207">
      <c r="A207" s="1"/>
      <c r="B207" s="30" t="str">
        <f>iferror(VLOOKUP(A207,numfire!A:B,2,false), "NOT ACTIVE")</f>
        <v>NOT ACTIVE</v>
      </c>
      <c r="C207" s="30" t="str">
        <f>iferror(VLOOKUP(A207,fpros!A:C,3,false), "NOT ACTIVE")</f>
        <v>NOT ACTIVE</v>
      </c>
      <c r="D207" s="56" t="str">
        <f t="shared" si="1"/>
        <v>NOT ACTIVE</v>
      </c>
    </row>
    <row r="208">
      <c r="A208" s="1"/>
      <c r="B208" s="30" t="str">
        <f>iferror(VLOOKUP(A208,numfire!A:B,2,false), "NOT ACTIVE")</f>
        <v>NOT ACTIVE</v>
      </c>
      <c r="C208" s="30" t="str">
        <f>iferror(VLOOKUP(A208,fpros!A:C,3,false), "NOT ACTIVE")</f>
        <v>NOT ACTIVE</v>
      </c>
      <c r="D208" s="56" t="str">
        <f t="shared" si="1"/>
        <v>NOT ACTIVE</v>
      </c>
    </row>
    <row r="209">
      <c r="A209" s="1"/>
      <c r="B209" s="30" t="str">
        <f>iferror(VLOOKUP(A209,numfire!A:B,2,false), "NOT ACTIVE")</f>
        <v>NOT ACTIVE</v>
      </c>
      <c r="C209" s="30" t="str">
        <f>iferror(VLOOKUP(A209,fpros!A:C,3,false), "NOT ACTIVE")</f>
        <v>NOT ACTIVE</v>
      </c>
      <c r="D209" s="56" t="str">
        <f t="shared" si="1"/>
        <v>NOT ACTIVE</v>
      </c>
    </row>
    <row r="210">
      <c r="A210" s="1"/>
      <c r="B210" s="30" t="str">
        <f>iferror(VLOOKUP(A210,numfire!A:B,2,false), "NOT ACTIVE")</f>
        <v>NOT ACTIVE</v>
      </c>
      <c r="C210" s="30" t="str">
        <f>iferror(VLOOKUP(A210,fpros!A:C,3,false), "NOT ACTIVE")</f>
        <v>NOT ACTIVE</v>
      </c>
      <c r="D210" s="56" t="str">
        <f t="shared" si="1"/>
        <v>NOT ACTIVE</v>
      </c>
    </row>
    <row r="211">
      <c r="A211" s="1"/>
      <c r="B211" s="30" t="str">
        <f>iferror(VLOOKUP(A211,numfire!A:B,2,false), "NOT ACTIVE")</f>
        <v>NOT ACTIVE</v>
      </c>
      <c r="C211" s="30" t="str">
        <f>iferror(VLOOKUP(A211,fpros!A:C,3,false), "NOT ACTIVE")</f>
        <v>NOT ACTIVE</v>
      </c>
      <c r="D211" s="56" t="str">
        <f t="shared" si="1"/>
        <v>NOT ACTIVE</v>
      </c>
    </row>
    <row r="212">
      <c r="A212" s="1"/>
      <c r="B212" s="30" t="str">
        <f>iferror(VLOOKUP(A212,numfire!A:B,2,false), "NOT ACTIVE")</f>
        <v>NOT ACTIVE</v>
      </c>
      <c r="C212" s="30" t="str">
        <f>iferror(VLOOKUP(A212,fpros!A:C,3,false), "NOT ACTIVE")</f>
        <v>NOT ACTIVE</v>
      </c>
      <c r="D212" s="56" t="str">
        <f t="shared" si="1"/>
        <v>NOT ACTIVE</v>
      </c>
    </row>
    <row r="213">
      <c r="A213" s="1"/>
      <c r="B213" s="30" t="str">
        <f>iferror(VLOOKUP(A213,numfire!A:B,2,false), "NOT ACTIVE")</f>
        <v>NOT ACTIVE</v>
      </c>
      <c r="C213" s="30" t="str">
        <f>iferror(VLOOKUP(A213,fpros!A:C,3,false), "NOT ACTIVE")</f>
        <v>NOT ACTIVE</v>
      </c>
      <c r="D213" s="56" t="str">
        <f t="shared" si="1"/>
        <v>NOT ACTIVE</v>
      </c>
    </row>
    <row r="214">
      <c r="A214" s="1"/>
      <c r="B214" s="30" t="str">
        <f>iferror(VLOOKUP(A214,numfire!A:B,2,false), "NOT ACTIVE")</f>
        <v>NOT ACTIVE</v>
      </c>
      <c r="C214" s="30" t="str">
        <f>iferror(VLOOKUP(A214,fpros!A:C,3,false), "NOT ACTIVE")</f>
        <v>NOT ACTIVE</v>
      </c>
      <c r="D214" s="56" t="str">
        <f t="shared" si="1"/>
        <v>NOT ACTIVE</v>
      </c>
    </row>
    <row r="215">
      <c r="A215" s="1"/>
      <c r="B215" s="30" t="str">
        <f>iferror(VLOOKUP(A215,numfire!A:B,2,false), "NOT ACTIVE")</f>
        <v>NOT ACTIVE</v>
      </c>
      <c r="C215" s="30" t="str">
        <f>iferror(VLOOKUP(A215,fpros!A:C,3,false), "NOT ACTIVE")</f>
        <v>NOT ACTIVE</v>
      </c>
      <c r="D215" s="56" t="str">
        <f t="shared" si="1"/>
        <v>NOT ACTIVE</v>
      </c>
    </row>
    <row r="216">
      <c r="A216" s="1"/>
      <c r="B216" s="30" t="str">
        <f>iferror(VLOOKUP(A216,numfire!A:B,2,false), "NOT ACTIVE")</f>
        <v>NOT ACTIVE</v>
      </c>
      <c r="C216" s="30" t="str">
        <f>iferror(VLOOKUP(A216,fpros!A:C,3,false), "NOT ACTIVE")</f>
        <v>NOT ACTIVE</v>
      </c>
      <c r="D216" s="56" t="str">
        <f t="shared" si="1"/>
        <v>NOT ACTIVE</v>
      </c>
    </row>
    <row r="217">
      <c r="A217" s="1"/>
      <c r="B217" s="30" t="str">
        <f>iferror(VLOOKUP(A217,numfire!A:B,2,false), "NOT ACTIVE")</f>
        <v>NOT ACTIVE</v>
      </c>
      <c r="C217" s="30" t="str">
        <f>iferror(VLOOKUP(A217,fpros!A:C,3,false), "NOT ACTIVE")</f>
        <v>NOT ACTIVE</v>
      </c>
      <c r="D217" s="56" t="str">
        <f t="shared" si="1"/>
        <v>NOT ACTIVE</v>
      </c>
    </row>
    <row r="218">
      <c r="A218" s="1"/>
      <c r="B218" s="30" t="str">
        <f>iferror(VLOOKUP(A218,numfire!A:B,2,false), "NOT ACTIVE")</f>
        <v>NOT ACTIVE</v>
      </c>
      <c r="C218" s="30" t="str">
        <f>iferror(VLOOKUP(A218,fpros!A:C,3,false), "NOT ACTIVE")</f>
        <v>NOT ACTIVE</v>
      </c>
      <c r="D218" s="56" t="str">
        <f t="shared" si="1"/>
        <v>NOT ACTIVE</v>
      </c>
    </row>
    <row r="219">
      <c r="A219" s="1"/>
      <c r="B219" s="30" t="str">
        <f>iferror(VLOOKUP(A219,numfire!A:B,2,false), "NOT ACTIVE")</f>
        <v>NOT ACTIVE</v>
      </c>
      <c r="C219" s="30" t="str">
        <f>iferror(VLOOKUP(A219,fpros!A:C,3,false), "NOT ACTIVE")</f>
        <v>NOT ACTIVE</v>
      </c>
      <c r="D219" s="56" t="str">
        <f t="shared" si="1"/>
        <v>NOT ACTIVE</v>
      </c>
    </row>
    <row r="220">
      <c r="A220" s="1"/>
      <c r="B220" s="30" t="str">
        <f>iferror(VLOOKUP(A220,numfire!A:B,2,false), "NOT ACTIVE")</f>
        <v>NOT ACTIVE</v>
      </c>
      <c r="C220" s="30" t="str">
        <f>iferror(VLOOKUP(A220,fpros!A:C,3,false), "NOT ACTIVE")</f>
        <v>NOT ACTIVE</v>
      </c>
      <c r="D220" s="56" t="str">
        <f t="shared" si="1"/>
        <v>NOT ACTIVE</v>
      </c>
    </row>
    <row r="221">
      <c r="A221" s="1"/>
      <c r="B221" s="30" t="str">
        <f>iferror(VLOOKUP(A221,numfire!A:B,2,false), "NOT ACTIVE")</f>
        <v>NOT ACTIVE</v>
      </c>
      <c r="C221" s="30" t="str">
        <f>iferror(VLOOKUP(A221,fpros!A:C,3,false), "NOT ACTIVE")</f>
        <v>NOT ACTIVE</v>
      </c>
      <c r="D221" s="56" t="str">
        <f t="shared" si="1"/>
        <v>NOT ACTIVE</v>
      </c>
    </row>
    <row r="222">
      <c r="A222" s="1"/>
      <c r="B222" s="30" t="str">
        <f>iferror(VLOOKUP(A222,numfire!A:B,2,false), "NOT ACTIVE")</f>
        <v>NOT ACTIVE</v>
      </c>
      <c r="C222" s="30" t="str">
        <f>iferror(VLOOKUP(A222,fpros!A:C,3,false), "NOT ACTIVE")</f>
        <v>NOT ACTIVE</v>
      </c>
      <c r="D222" s="56" t="str">
        <f t="shared" si="1"/>
        <v>NOT ACTIVE</v>
      </c>
    </row>
    <row r="223">
      <c r="A223" s="1"/>
      <c r="B223" s="30" t="str">
        <f>iferror(VLOOKUP(A223,numfire!A:B,2,false), "NOT ACTIVE")</f>
        <v>NOT ACTIVE</v>
      </c>
      <c r="C223" s="30" t="str">
        <f>iferror(VLOOKUP(A223,fpros!A:C,3,false), "NOT ACTIVE")</f>
        <v>NOT ACTIVE</v>
      </c>
      <c r="D223" s="56" t="str">
        <f t="shared" si="1"/>
        <v>NOT ACTIVE</v>
      </c>
    </row>
    <row r="224">
      <c r="A224" s="1"/>
      <c r="B224" s="30" t="str">
        <f>iferror(VLOOKUP(A224,numfire!A:B,2,false), "NOT ACTIVE")</f>
        <v>NOT ACTIVE</v>
      </c>
      <c r="C224" s="30" t="str">
        <f>iferror(VLOOKUP(A224,fpros!A:C,3,false), "NOT ACTIVE")</f>
        <v>NOT ACTIVE</v>
      </c>
      <c r="D224" s="56" t="str">
        <f t="shared" si="1"/>
        <v>NOT ACTIVE</v>
      </c>
    </row>
    <row r="225">
      <c r="A225" s="1"/>
      <c r="B225" s="30" t="str">
        <f>iferror(VLOOKUP(A225,numfire!A:B,2,false), "NOT ACTIVE")</f>
        <v>NOT ACTIVE</v>
      </c>
      <c r="C225" s="30" t="str">
        <f>iferror(VLOOKUP(A225,fpros!A:C,3,false), "NOT ACTIVE")</f>
        <v>NOT ACTIVE</v>
      </c>
      <c r="D225" s="56" t="str">
        <f t="shared" si="1"/>
        <v>NOT ACTIVE</v>
      </c>
    </row>
    <row r="226">
      <c r="A226" s="1"/>
      <c r="B226" s="30" t="str">
        <f>iferror(VLOOKUP(A226,numfire!A:B,2,false), "NOT ACTIVE")</f>
        <v>NOT ACTIVE</v>
      </c>
      <c r="C226" s="30" t="str">
        <f>iferror(VLOOKUP(A226,fpros!A:C,3,false), "NOT ACTIVE")</f>
        <v>NOT ACTIVE</v>
      </c>
      <c r="D226" s="56" t="str">
        <f t="shared" si="1"/>
        <v>NOT ACTIVE</v>
      </c>
    </row>
    <row r="227">
      <c r="A227" s="1"/>
      <c r="B227" s="30" t="str">
        <f>iferror(VLOOKUP(A227,numfire!A:B,2,false), "NOT ACTIVE")</f>
        <v>NOT ACTIVE</v>
      </c>
      <c r="C227" s="30" t="str">
        <f>iferror(VLOOKUP(A227,fpros!A:C,3,false), "NOT ACTIVE")</f>
        <v>NOT ACTIVE</v>
      </c>
      <c r="D227" s="56" t="str">
        <f t="shared" si="1"/>
        <v>NOT ACTIVE</v>
      </c>
    </row>
    <row r="228">
      <c r="A228" s="1"/>
      <c r="B228" s="30" t="str">
        <f>iferror(VLOOKUP(A228,numfire!A:B,2,false), "NOT ACTIVE")</f>
        <v>NOT ACTIVE</v>
      </c>
      <c r="C228" s="30" t="str">
        <f>iferror(VLOOKUP(A228,fpros!A:C,3,false), "NOT ACTIVE")</f>
        <v>NOT ACTIVE</v>
      </c>
      <c r="D228" s="56" t="str">
        <f t="shared" si="1"/>
        <v>NOT ACTIVE</v>
      </c>
    </row>
    <row r="229">
      <c r="A229" s="1"/>
      <c r="B229" s="30" t="str">
        <f>iferror(VLOOKUP(A229,numfire!A:B,2,false), "NOT ACTIVE")</f>
        <v>NOT ACTIVE</v>
      </c>
      <c r="C229" s="30" t="str">
        <f>iferror(VLOOKUP(A229,fpros!A:C,3,false), "NOT ACTIVE")</f>
        <v>NOT ACTIVE</v>
      </c>
      <c r="D229" s="56" t="str">
        <f t="shared" si="1"/>
        <v>NOT ACTIVE</v>
      </c>
    </row>
    <row r="230">
      <c r="A230" s="1"/>
      <c r="B230" s="30" t="str">
        <f>iferror(VLOOKUP(A230,numfire!A:B,2,false), "NOT ACTIVE")</f>
        <v>NOT ACTIVE</v>
      </c>
      <c r="C230" s="30" t="str">
        <f>iferror(VLOOKUP(A230,fpros!A:C,3,false), "NOT ACTIVE")</f>
        <v>NOT ACTIVE</v>
      </c>
      <c r="D230" s="56" t="str">
        <f t="shared" si="1"/>
        <v>NOT ACTIVE</v>
      </c>
    </row>
    <row r="231">
      <c r="A231" s="1"/>
      <c r="B231" s="30" t="str">
        <f>iferror(VLOOKUP(A231,numfire!A:B,2,false), "NOT ACTIVE")</f>
        <v>NOT ACTIVE</v>
      </c>
      <c r="C231" s="30" t="str">
        <f>iferror(VLOOKUP(A231,fpros!A:C,3,false), "NOT ACTIVE")</f>
        <v>NOT ACTIVE</v>
      </c>
      <c r="D231" s="56" t="str">
        <f t="shared" si="1"/>
        <v>NOT ACTIVE</v>
      </c>
    </row>
    <row r="232">
      <c r="A232" s="1"/>
      <c r="B232" s="30" t="str">
        <f>iferror(VLOOKUP(A232,numfire!A:B,2,false), "NOT ACTIVE")</f>
        <v>NOT ACTIVE</v>
      </c>
      <c r="C232" s="30" t="str">
        <f>iferror(VLOOKUP(A232,fpros!A:C,3,false), "NOT ACTIVE")</f>
        <v>NOT ACTIVE</v>
      </c>
      <c r="D232" s="56" t="str">
        <f t="shared" si="1"/>
        <v>NOT ACTIVE</v>
      </c>
    </row>
    <row r="233">
      <c r="A233" s="1"/>
      <c r="B233" s="30" t="str">
        <f>iferror(VLOOKUP(A233,numfire!A:B,2,false), "NOT ACTIVE")</f>
        <v>NOT ACTIVE</v>
      </c>
      <c r="C233" s="30" t="str">
        <f>iferror(VLOOKUP(A233,fpros!A:C,3,false), "NOT ACTIVE")</f>
        <v>NOT ACTIVE</v>
      </c>
      <c r="D233" s="56" t="str">
        <f t="shared" si="1"/>
        <v>NOT ACTIVE</v>
      </c>
    </row>
    <row r="234">
      <c r="A234" s="1"/>
      <c r="B234" s="30" t="str">
        <f>iferror(VLOOKUP(A234,numfire!A:B,2,false), "NOT ACTIVE")</f>
        <v>NOT ACTIVE</v>
      </c>
      <c r="C234" s="30" t="str">
        <f>iferror(VLOOKUP(A234,fpros!A:C,3,false), "NOT ACTIVE")</f>
        <v>NOT ACTIVE</v>
      </c>
      <c r="D234" s="56" t="str">
        <f t="shared" si="1"/>
        <v>NOT ACTIVE</v>
      </c>
    </row>
    <row r="235">
      <c r="A235" s="1"/>
      <c r="C235" s="30" t="str">
        <f>iferror(VLOOKUP(A235,fpros!A:C,3,false), "NOT ACTIVE")</f>
        <v>NOT ACTIVE</v>
      </c>
      <c r="D235" s="56" t="str">
        <f t="shared" si="1"/>
        <v>NOT ACTIVE</v>
      </c>
    </row>
    <row r="236">
      <c r="A236" s="1"/>
      <c r="C236" s="30" t="str">
        <f>iferror(VLOOKUP(A236,fpros!A:C,3,false), "NOT ACTIVE")</f>
        <v>NOT ACTIVE</v>
      </c>
      <c r="D236" s="56" t="str">
        <f t="shared" si="1"/>
        <v>NOT ACTIVE</v>
      </c>
    </row>
    <row r="237">
      <c r="A237" s="1"/>
      <c r="C237" s="30" t="str">
        <f>iferror(VLOOKUP(A237,fpros!A:C,3,false), "NOT ACTIVE")</f>
        <v>NOT ACTIVE</v>
      </c>
      <c r="D237" s="56" t="str">
        <f t="shared" si="1"/>
        <v>NOT ACTIVE</v>
      </c>
    </row>
    <row r="238">
      <c r="A238" s="1"/>
      <c r="C238" s="30" t="str">
        <f>iferror(VLOOKUP(A238,fpros!A:C,3,false), "NOT ACTIVE")</f>
        <v>NOT ACTIVE</v>
      </c>
      <c r="D238" s="56" t="str">
        <f t="shared" si="1"/>
        <v>NOT ACTIVE</v>
      </c>
    </row>
    <row r="239">
      <c r="A239" s="1"/>
      <c r="C239" s="30" t="str">
        <f>iferror(VLOOKUP(A239,fpros!A:C,3,false), "NOT ACTIVE")</f>
        <v>NOT ACTIVE</v>
      </c>
      <c r="D239" s="56" t="str">
        <f t="shared" si="1"/>
        <v>NOT ACTIVE</v>
      </c>
    </row>
    <row r="240">
      <c r="A240" s="1"/>
      <c r="C240" s="30" t="str">
        <f>iferror(VLOOKUP(A240,fpros!A:C,3,false), "NOT ACTIVE")</f>
        <v>NOT ACTIVE</v>
      </c>
      <c r="D240" s="56" t="str">
        <f t="shared" si="1"/>
        <v>NOT ACTIVE</v>
      </c>
    </row>
    <row r="241">
      <c r="A241" s="1"/>
      <c r="C241" s="30" t="str">
        <f>iferror(VLOOKUP(A241,fpros!A:C,3,false), "NOT ACTIVE")</f>
        <v>NOT ACTIVE</v>
      </c>
      <c r="D241" s="56" t="str">
        <f t="shared" si="1"/>
        <v>NOT ACTIVE</v>
      </c>
    </row>
    <row r="242">
      <c r="A242" s="1"/>
      <c r="C242" s="30" t="str">
        <f>iferror(VLOOKUP(A242,fpros!A:C,3,false), "NOT ACTIVE")</f>
        <v>NOT ACTIVE</v>
      </c>
      <c r="D242" s="56" t="str">
        <f t="shared" si="1"/>
        <v>NOT ACTIVE</v>
      </c>
    </row>
    <row r="243">
      <c r="A243" s="1"/>
      <c r="C243" s="30" t="str">
        <f>iferror(VLOOKUP(A243,fpros!A:C,3,false), "NOT ACTIVE")</f>
        <v>NOT ACTIVE</v>
      </c>
      <c r="D243" s="56" t="str">
        <f t="shared" si="1"/>
        <v>NOT ACTIVE</v>
      </c>
    </row>
    <row r="244">
      <c r="A244" s="1"/>
      <c r="C244" s="30" t="str">
        <f>iferror(VLOOKUP(A244,fpros!A:C,3,false), "NOT ACTIVE")</f>
        <v>NOT ACTIVE</v>
      </c>
      <c r="D244" s="56" t="str">
        <f t="shared" si="1"/>
        <v>NOT ACTIVE</v>
      </c>
    </row>
    <row r="245">
      <c r="A245" s="1"/>
      <c r="C245" s="30" t="str">
        <f>iferror(VLOOKUP(A245,fpros!A:C,3,false), "NOT ACTIVE")</f>
        <v>NOT ACTIVE</v>
      </c>
      <c r="D245" s="56" t="str">
        <f t="shared" si="1"/>
        <v>NOT ACTIVE</v>
      </c>
    </row>
    <row r="246">
      <c r="A246" s="1"/>
      <c r="C246" s="30" t="str">
        <f>iferror(VLOOKUP(A246,fpros!A:C,3,false), "NOT ACTIVE")</f>
        <v>NOT ACTIVE</v>
      </c>
      <c r="D246" s="56" t="str">
        <f t="shared" si="1"/>
        <v>NOT ACTIVE</v>
      </c>
    </row>
    <row r="247">
      <c r="A247" s="1"/>
      <c r="C247" s="30" t="str">
        <f>iferror(VLOOKUP(A247,fpros!A:C,3,false), "NOT ACTIVE")</f>
        <v>NOT ACTIVE</v>
      </c>
      <c r="D247" s="56" t="str">
        <f t="shared" si="1"/>
        <v>NOT ACTIVE</v>
      </c>
    </row>
    <row r="248">
      <c r="A248" s="1"/>
      <c r="C248" s="30" t="str">
        <f>iferror(VLOOKUP(A248,fpros!A:C,3,false), "NOT ACTIVE")</f>
        <v>NOT ACTIVE</v>
      </c>
      <c r="D248" s="56" t="str">
        <f t="shared" si="1"/>
        <v>NOT ACTIVE</v>
      </c>
    </row>
    <row r="249">
      <c r="A249" s="1"/>
      <c r="C249" s="30" t="str">
        <f>iferror(VLOOKUP(A249,fpros!A:C,3,false), "NOT ACTIVE")</f>
        <v>NOT ACTIVE</v>
      </c>
      <c r="D249" s="56" t="str">
        <f t="shared" si="1"/>
        <v>NOT ACTIVE</v>
      </c>
    </row>
    <row r="250">
      <c r="A250" s="1"/>
      <c r="C250" s="30" t="str">
        <f>iferror(VLOOKUP(A250,fpros!A:C,3,false), "NOT ACTIVE")</f>
        <v>NOT ACTIVE</v>
      </c>
      <c r="D250" s="56" t="str">
        <f t="shared" si="1"/>
        <v>NOT ACTIVE</v>
      </c>
    </row>
    <row r="251">
      <c r="A251" s="1"/>
      <c r="C251" s="30" t="str">
        <f>iferror(VLOOKUP(A251,fpros!A:C,3,false), "NOT ACTIVE")</f>
        <v>NOT ACTIVE</v>
      </c>
      <c r="D251" s="56" t="str">
        <f t="shared" si="1"/>
        <v>NOT ACTIVE</v>
      </c>
    </row>
    <row r="252">
      <c r="A252" s="1"/>
      <c r="C252" s="30" t="str">
        <f>iferror(VLOOKUP(A252,fpros!A:C,3,false), "NOT ACTIVE")</f>
        <v>NOT ACTIVE</v>
      </c>
      <c r="D252" s="56" t="str">
        <f t="shared" si="1"/>
        <v>NOT ACTIVE</v>
      </c>
    </row>
    <row r="253">
      <c r="A253" s="1"/>
      <c r="C253" s="30" t="str">
        <f>iferror(VLOOKUP(A253,fpros!A:C,3,false), "NOT ACTIVE")</f>
        <v>NOT ACTIVE</v>
      </c>
      <c r="D253" s="56" t="str">
        <f t="shared" si="1"/>
        <v>NOT ACTIVE</v>
      </c>
    </row>
    <row r="254">
      <c r="A254" s="1"/>
      <c r="C254" s="30" t="str">
        <f>iferror(VLOOKUP(A254,fpros!A:C,3,false), "NOT ACTIVE")</f>
        <v>NOT ACTIVE</v>
      </c>
      <c r="D254" s="56" t="str">
        <f t="shared" si="1"/>
        <v>NOT ACTIVE</v>
      </c>
    </row>
    <row r="255">
      <c r="A255" s="1"/>
      <c r="C255" s="30" t="str">
        <f>iferror(VLOOKUP(A255,fpros!A:C,3,false), "NOT ACTIVE")</f>
        <v>NOT ACTIVE</v>
      </c>
      <c r="D255" s="56" t="str">
        <f t="shared" si="1"/>
        <v>NOT ACTIVE</v>
      </c>
    </row>
    <row r="256">
      <c r="A256" s="1"/>
      <c r="C256" s="30" t="str">
        <f>iferror(VLOOKUP(A256,fpros!A:C,3,false), "NOT ACTIVE")</f>
        <v>NOT ACTIVE</v>
      </c>
      <c r="D256" s="56" t="str">
        <f t="shared" si="1"/>
        <v>NOT ACTIVE</v>
      </c>
    </row>
    <row r="257">
      <c r="A257" s="1"/>
      <c r="C257" s="30" t="str">
        <f>iferror(VLOOKUP(A257,fpros!A:C,3,false), "NOT ACTIVE")</f>
        <v>NOT ACTIVE</v>
      </c>
      <c r="D257" s="56" t="str">
        <f t="shared" si="1"/>
        <v>NOT ACTIVE</v>
      </c>
    </row>
    <row r="258">
      <c r="A258" s="1"/>
      <c r="C258" s="30" t="str">
        <f>iferror(VLOOKUP(A258,fpros!A:C,3,false), "NOT ACTIVE")</f>
        <v>NOT ACTIVE</v>
      </c>
      <c r="D258" s="56" t="str">
        <f t="shared" si="1"/>
        <v>NOT ACTIVE</v>
      </c>
    </row>
    <row r="259">
      <c r="A259" s="1"/>
      <c r="C259" s="30" t="str">
        <f>iferror(VLOOKUP(A259,fpros!A:C,3,false), "NOT ACTIVE")</f>
        <v>NOT ACTIVE</v>
      </c>
      <c r="D259" s="56" t="str">
        <f t="shared" si="1"/>
        <v>NOT ACTIVE</v>
      </c>
    </row>
    <row r="260">
      <c r="A260" s="1"/>
      <c r="C260" s="30" t="str">
        <f>iferror(VLOOKUP(A260,fpros!A:C,3,false), "NOT ACTIVE")</f>
        <v>NOT ACTIVE</v>
      </c>
      <c r="D260" s="56" t="str">
        <f t="shared" si="1"/>
        <v>NOT ACTIVE</v>
      </c>
    </row>
    <row r="261">
      <c r="A261" s="1"/>
      <c r="C261" s="30" t="str">
        <f>iferror(VLOOKUP(A261,fpros!A:C,3,false), "NOT ACTIVE")</f>
        <v>NOT ACTIVE</v>
      </c>
      <c r="D261" s="56" t="str">
        <f t="shared" si="1"/>
        <v>NOT ACTIVE</v>
      </c>
    </row>
    <row r="262">
      <c r="A262" s="1"/>
      <c r="C262" s="30" t="str">
        <f>iferror(VLOOKUP(A262,fpros!A:C,3,false), "NOT ACTIVE")</f>
        <v>NOT ACTIVE</v>
      </c>
      <c r="D262" s="56" t="str">
        <f t="shared" si="1"/>
        <v>NOT ACTIVE</v>
      </c>
    </row>
    <row r="263">
      <c r="A263" s="1"/>
      <c r="C263" s="30" t="str">
        <f>iferror(VLOOKUP(A263,fpros!A:C,3,false), "NOT ACTIVE")</f>
        <v>NOT ACTIVE</v>
      </c>
      <c r="D263" s="56" t="str">
        <f t="shared" si="1"/>
        <v>NOT ACTIVE</v>
      </c>
    </row>
    <row r="264">
      <c r="A264" s="1"/>
      <c r="C264" s="30" t="str">
        <f>iferror(VLOOKUP(A264,fpros!A:C,3,false), "NOT ACTIVE")</f>
        <v>NOT ACTIVE</v>
      </c>
      <c r="D264" s="56" t="str">
        <f t="shared" si="1"/>
        <v>NOT ACTIVE</v>
      </c>
    </row>
    <row r="265">
      <c r="A265" s="1"/>
      <c r="C265" s="30" t="str">
        <f>iferror(VLOOKUP(A265,fpros!A:C,3,false), "NOT ACTIVE")</f>
        <v>NOT ACTIVE</v>
      </c>
      <c r="D265" s="56" t="str">
        <f t="shared" si="1"/>
        <v>NOT ACTIVE</v>
      </c>
    </row>
    <row r="266">
      <c r="A266" s="1"/>
      <c r="C266" s="30" t="str">
        <f>iferror(VLOOKUP(A266,fpros!A:C,3,false), "NOT ACTIVE")</f>
        <v>NOT ACTIVE</v>
      </c>
      <c r="D266" s="56" t="str">
        <f t="shared" si="1"/>
        <v>NOT ACTIVE</v>
      </c>
    </row>
    <row r="267">
      <c r="A267" s="1"/>
      <c r="C267" s="30" t="str">
        <f>iferror(VLOOKUP(A267,fpros!A:C,3,false), "NOT ACTIVE")</f>
        <v>NOT ACTIVE</v>
      </c>
      <c r="D267" s="56" t="str">
        <f t="shared" si="1"/>
        <v>NOT ACTIVE</v>
      </c>
    </row>
    <row r="268">
      <c r="A268" s="1"/>
      <c r="C268" s="30" t="str">
        <f>iferror(VLOOKUP(A268,fpros!A:C,3,false), "NOT ACTIVE")</f>
        <v>NOT ACTIVE</v>
      </c>
      <c r="D268" s="56" t="str">
        <f t="shared" si="1"/>
        <v>NOT ACTIVE</v>
      </c>
    </row>
    <row r="269">
      <c r="A269" s="1"/>
      <c r="C269" s="30" t="str">
        <f>iferror(VLOOKUP(A269,fpros!A:C,3,false), "NOT ACTIVE")</f>
        <v>NOT ACTIVE</v>
      </c>
      <c r="D269" s="56" t="str">
        <f t="shared" si="1"/>
        <v>NOT ACTIVE</v>
      </c>
    </row>
    <row r="270">
      <c r="A270" s="10"/>
      <c r="C270" s="30" t="str">
        <f>iferror(VLOOKUP(A270,fpros!A:C,3,false), "NOT ACTIVE")</f>
        <v>NOT ACTIVE</v>
      </c>
      <c r="D270" s="56" t="str">
        <f t="shared" si="1"/>
        <v>NOT ACTIVE</v>
      </c>
    </row>
    <row r="271">
      <c r="A271" s="10"/>
      <c r="C271" s="30" t="str">
        <f>iferror(VLOOKUP(A271,fpros!A:C,3,false), "NOT ACTIVE")</f>
        <v>NOT ACTIVE</v>
      </c>
      <c r="D271" s="56" t="str">
        <f t="shared" si="1"/>
        <v>NOT ACTIVE</v>
      </c>
    </row>
    <row r="272">
      <c r="A272" s="10"/>
      <c r="C272" s="30" t="str">
        <f>iferror(VLOOKUP(A272,fpros!A:C,3,false), "NOT ACTIVE")</f>
        <v>NOT ACTIVE</v>
      </c>
      <c r="D272" s="56" t="str">
        <f t="shared" si="1"/>
        <v>NOT ACTIVE</v>
      </c>
    </row>
    <row r="273">
      <c r="A273" s="12"/>
      <c r="C273" s="30" t="str">
        <f>iferror(VLOOKUP(A273,fpros!A:C,3,false), "NOT ACTIVE")</f>
        <v>NOT ACTIVE</v>
      </c>
      <c r="D273" s="56" t="str">
        <f t="shared" si="1"/>
        <v>NOT ACTIVE</v>
      </c>
    </row>
    <row r="274">
      <c r="A274" s="10"/>
      <c r="C274" s="30" t="str">
        <f>iferror(VLOOKUP(A274,fpros!A:C,3,false), "NOT ACTIVE")</f>
        <v>NOT ACTIVE</v>
      </c>
      <c r="D274" s="56" t="str">
        <f t="shared" si="1"/>
        <v>NOT ACTIVE</v>
      </c>
    </row>
    <row r="275">
      <c r="A275" s="10"/>
      <c r="C275" s="30" t="str">
        <f>iferror(VLOOKUP(A275,fpros!A:C,3,false), "NOT ACTIVE")</f>
        <v>NOT ACTIVE</v>
      </c>
      <c r="D275" s="56" t="str">
        <f t="shared" si="1"/>
        <v>NOT ACTIVE</v>
      </c>
    </row>
    <row r="276">
      <c r="A276" s="10"/>
      <c r="C276" s="30" t="str">
        <f>iferror(VLOOKUP(A276,fpros!A:C,3,false), "NOT ACTIVE")</f>
        <v>NOT ACTIVE</v>
      </c>
      <c r="D276" s="56" t="str">
        <f t="shared" si="1"/>
        <v>NOT ACTIVE</v>
      </c>
    </row>
    <row r="277">
      <c r="A277" s="12"/>
      <c r="C277" s="30" t="str">
        <f>iferror(VLOOKUP(A277,fpros!A:C,3,false), "NOT ACTIVE")</f>
        <v>NOT ACTIVE</v>
      </c>
      <c r="D277" s="56" t="str">
        <f t="shared" si="1"/>
        <v>NOT ACTIVE</v>
      </c>
    </row>
    <row r="278">
      <c r="A278" s="10"/>
      <c r="C278" s="30" t="str">
        <f>iferror(VLOOKUP(A278,fpros!A:C,3,false), "NOT ACTIVE")</f>
        <v>NOT ACTIVE</v>
      </c>
      <c r="D278" s="56" t="str">
        <f t="shared" si="1"/>
        <v>NOT ACTIVE</v>
      </c>
    </row>
    <row r="279">
      <c r="A279" s="10"/>
      <c r="C279" s="30" t="str">
        <f>iferror(VLOOKUP(A279,fpros!A:C,3,false), "NOT ACTIVE")</f>
        <v>NOT ACTIVE</v>
      </c>
      <c r="D279" s="56" t="str">
        <f t="shared" si="1"/>
        <v>NOT ACTIVE</v>
      </c>
    </row>
    <row r="280">
      <c r="A280" s="12"/>
      <c r="C280" s="30" t="str">
        <f>iferror(VLOOKUP(A280,fpros!A:C,3,false), "NOT ACTIVE")</f>
        <v>NOT ACTIVE</v>
      </c>
      <c r="D280" s="56" t="str">
        <f t="shared" si="1"/>
        <v>NOT ACTIVE</v>
      </c>
    </row>
    <row r="281">
      <c r="A281" s="10"/>
      <c r="C281" s="30" t="str">
        <f>iferror(VLOOKUP(A281,fpros!A:C,3,false), "NOT ACTIVE")</f>
        <v>NOT ACTIVE</v>
      </c>
      <c r="D281" s="56" t="str">
        <f t="shared" si="1"/>
        <v>NOT ACTIVE</v>
      </c>
    </row>
    <row r="282">
      <c r="A282" s="10"/>
      <c r="C282" s="30" t="str">
        <f>iferror(VLOOKUP(A282,fpros!A:C,3,false), "NOT ACTIVE")</f>
        <v>NOT ACTIVE</v>
      </c>
      <c r="D282" s="56" t="str">
        <f t="shared" si="1"/>
        <v>NOT ACTIVE</v>
      </c>
    </row>
    <row r="283">
      <c r="A283" s="10"/>
      <c r="C283" s="30" t="str">
        <f>iferror(VLOOKUP(A283,fpros!A:C,3,false), "NOT ACTIVE")</f>
        <v>NOT ACTIVE</v>
      </c>
      <c r="D283" s="56" t="str">
        <f t="shared" si="1"/>
        <v>NOT ACTIVE</v>
      </c>
    </row>
    <row r="284">
      <c r="A284" s="10"/>
      <c r="C284" s="30" t="str">
        <f>iferror(VLOOKUP(A284,fpros!A:C,3,false), "NOT ACTIVE")</f>
        <v>NOT ACTIVE</v>
      </c>
      <c r="D284" s="56" t="str">
        <f t="shared" si="1"/>
        <v>NOT ACTIVE</v>
      </c>
    </row>
    <row r="285">
      <c r="A285" s="10"/>
      <c r="C285" s="30" t="str">
        <f>iferror(VLOOKUP(A285,fpros!A:C,3,false), "NOT ACTIVE")</f>
        <v>NOT ACTIVE</v>
      </c>
      <c r="D285" s="56" t="str">
        <f t="shared" si="1"/>
        <v>NOT ACTIVE</v>
      </c>
    </row>
    <row r="286">
      <c r="A286" s="10"/>
      <c r="C286" s="30" t="str">
        <f>iferror(VLOOKUP(A286,fpros!A:C,3,false), "NOT ACTIVE")</f>
        <v>NOT ACTIVE</v>
      </c>
      <c r="D286" s="56" t="str">
        <f t="shared" si="1"/>
        <v>NOT ACTIVE</v>
      </c>
    </row>
    <row r="287">
      <c r="A287" s="10"/>
      <c r="C287" s="30" t="str">
        <f>iferror(VLOOKUP(A287,fpros!A:C,3,false), "NOT ACTIVE")</f>
        <v>NOT ACTIVE</v>
      </c>
      <c r="D287" s="56" t="str">
        <f t="shared" si="1"/>
        <v>NOT ACTIVE</v>
      </c>
    </row>
    <row r="288">
      <c r="A288" s="10"/>
      <c r="C288" s="30" t="str">
        <f>iferror(VLOOKUP(A288,fpros!A:C,3,false), "NOT ACTIVE")</f>
        <v>NOT ACTIVE</v>
      </c>
      <c r="D288" s="56" t="str">
        <f t="shared" si="1"/>
        <v>NOT ACTIVE</v>
      </c>
    </row>
    <row r="289">
      <c r="A289" s="12"/>
      <c r="C289" s="30" t="str">
        <f>iferror(VLOOKUP(A289,fpros!A:C,3,false), "NOT ACTIVE")</f>
        <v>NOT ACTIVE</v>
      </c>
      <c r="D289" s="56" t="str">
        <f t="shared" si="1"/>
        <v>NOT ACTIVE</v>
      </c>
    </row>
    <row r="290">
      <c r="A290" s="12"/>
      <c r="C290" s="30" t="str">
        <f>iferror(VLOOKUP(A290,fpros!A:C,3,false), "NOT ACTIVE")</f>
        <v>NOT ACTIVE</v>
      </c>
      <c r="D290" s="56" t="str">
        <f t="shared" si="1"/>
        <v>NOT ACTIVE</v>
      </c>
    </row>
    <row r="291">
      <c r="A291" s="10"/>
      <c r="C291" s="30" t="str">
        <f>iferror(VLOOKUP(A291,fpros!A:C,3,false), "NOT ACTIVE")</f>
        <v>NOT ACTIVE</v>
      </c>
      <c r="D291" s="56" t="str">
        <f t="shared" si="1"/>
        <v>NOT ACTIVE</v>
      </c>
    </row>
    <row r="292">
      <c r="A292" s="10"/>
      <c r="C292" s="30" t="str">
        <f>iferror(VLOOKUP(A292,fpros!A:C,3,false), "NOT ACTIVE")</f>
        <v>NOT ACTIVE</v>
      </c>
      <c r="D292" s="56" t="str">
        <f t="shared" si="1"/>
        <v>NOT ACTIVE</v>
      </c>
    </row>
    <row r="293">
      <c r="A293" s="10"/>
      <c r="C293" s="30" t="str">
        <f>iferror(VLOOKUP(A293,fpros!A:C,3,false), "NOT ACTIVE")</f>
        <v>NOT ACTIVE</v>
      </c>
      <c r="D293" s="56" t="str">
        <f t="shared" si="1"/>
        <v>NOT ACTIVE</v>
      </c>
    </row>
    <row r="294">
      <c r="A294" s="10"/>
      <c r="C294" s="30" t="str">
        <f>iferror(VLOOKUP(A294,fpros!A:C,3,false), "NOT ACTIVE")</f>
        <v>NOT ACTIVE</v>
      </c>
      <c r="D294" s="56" t="str">
        <f t="shared" si="1"/>
        <v>NOT ACTIVE</v>
      </c>
    </row>
    <row r="295">
      <c r="A295" s="10"/>
      <c r="C295" s="30" t="str">
        <f>iferror(VLOOKUP(A295,fpros!A:C,3,false), "NOT ACTIVE")</f>
        <v>NOT ACTIVE</v>
      </c>
      <c r="D295" s="56" t="str">
        <f t="shared" si="1"/>
        <v>NOT ACTIVE</v>
      </c>
    </row>
    <row r="296">
      <c r="A296" s="10"/>
      <c r="C296" s="30" t="str">
        <f>iferror(VLOOKUP(A296,fpros!A:C,3,false), "NOT ACTIVE")</f>
        <v>NOT ACTIVE</v>
      </c>
      <c r="D296" s="56" t="str">
        <f t="shared" si="1"/>
        <v>NOT ACTIVE</v>
      </c>
    </row>
    <row r="297">
      <c r="A297" s="10"/>
      <c r="C297" s="30" t="str">
        <f>iferror(VLOOKUP(A297,fpros!A:C,3,false), "NOT ACTIVE")</f>
        <v>NOT ACTIVE</v>
      </c>
      <c r="D297" s="56" t="str">
        <f t="shared" si="1"/>
        <v>NOT ACTIVE</v>
      </c>
    </row>
    <row r="298">
      <c r="A298" s="10"/>
      <c r="C298" s="30" t="str">
        <f>iferror(VLOOKUP(A298,fpros!A:C,3,false), "NOT ACTIVE")</f>
        <v>NOT ACTIVE</v>
      </c>
      <c r="D298" s="56" t="str">
        <f t="shared" si="1"/>
        <v>NOT ACTIVE</v>
      </c>
    </row>
    <row r="299">
      <c r="A299" s="10"/>
      <c r="C299" s="30" t="str">
        <f>iferror(VLOOKUP(A299,fpros!A:C,3,false), "NOT ACTIVE")</f>
        <v>NOT ACTIVE</v>
      </c>
      <c r="D299" s="56" t="str">
        <f t="shared" si="1"/>
        <v>NOT ACTIVE</v>
      </c>
    </row>
    <row r="300">
      <c r="A300" s="10"/>
      <c r="C300" s="30" t="str">
        <f>iferror(VLOOKUP(A300,fpros!A:C,3,false), "NOT ACTIVE")</f>
        <v>NOT ACTIVE</v>
      </c>
      <c r="D300" s="56" t="str">
        <f t="shared" si="1"/>
        <v>NOT ACTIVE</v>
      </c>
    </row>
    <row r="301">
      <c r="A301" s="10"/>
      <c r="C301" s="30" t="str">
        <f>iferror(VLOOKUP(A301,fpros!A:C,3,false), "NOT ACTIVE")</f>
        <v>NOT ACTIVE</v>
      </c>
      <c r="D301" s="56" t="str">
        <f t="shared" si="1"/>
        <v>NOT ACTIVE</v>
      </c>
    </row>
    <row r="302">
      <c r="A302" s="10"/>
      <c r="C302" s="30" t="str">
        <f>iferror(VLOOKUP(A302,fpros!A:C,3,false), "NOT ACTIVE")</f>
        <v>NOT ACTIVE</v>
      </c>
      <c r="D302" s="56" t="str">
        <f t="shared" si="1"/>
        <v>NOT ACTIVE</v>
      </c>
    </row>
    <row r="303">
      <c r="A303" s="10"/>
      <c r="C303" s="30" t="str">
        <f>iferror(VLOOKUP(A303,fpros!A:C,3,false), "NOT ACTIVE")</f>
        <v>NOT ACTIVE</v>
      </c>
      <c r="D303" s="56" t="str">
        <f t="shared" si="1"/>
        <v>NOT ACTIVE</v>
      </c>
    </row>
    <row r="304">
      <c r="A304" s="10"/>
      <c r="C304" s="30" t="str">
        <f>iferror(VLOOKUP(A304,fpros!A:C,3,false), "NOT ACTIVE")</f>
        <v>NOT ACTIVE</v>
      </c>
      <c r="D304" s="56" t="str">
        <f t="shared" si="1"/>
        <v>NOT ACTIVE</v>
      </c>
    </row>
    <row r="305">
      <c r="A305" s="10"/>
      <c r="C305" s="30" t="str">
        <f>iferror(VLOOKUP(A305,fpros!A:C,3,false), "NOT ACTIVE")</f>
        <v>NOT ACTIVE</v>
      </c>
      <c r="D305" s="56" t="str">
        <f t="shared" si="1"/>
        <v>NOT ACTIVE</v>
      </c>
    </row>
    <row r="306">
      <c r="A306" s="10"/>
      <c r="C306" s="30" t="str">
        <f>iferror(VLOOKUP(A306,fpros!A:C,3,false), "NOT ACTIVE")</f>
        <v>NOT ACTIVE</v>
      </c>
      <c r="D306" s="56" t="str">
        <f t="shared" si="1"/>
        <v>NOT ACTIVE</v>
      </c>
    </row>
    <row r="307">
      <c r="A307" s="10"/>
      <c r="C307" s="30" t="str">
        <f>iferror(VLOOKUP(A307,fpros!A:C,3,false), "NOT ACTIVE")</f>
        <v>NOT ACTIVE</v>
      </c>
      <c r="D307" s="56" t="str">
        <f t="shared" si="1"/>
        <v>NOT ACTIVE</v>
      </c>
    </row>
    <row r="308">
      <c r="A308" s="10"/>
      <c r="C308" s="30" t="str">
        <f>iferror(VLOOKUP(A308,fpros!A:C,3,false), "NOT ACTIVE")</f>
        <v>NOT ACTIVE</v>
      </c>
      <c r="D308" s="56" t="str">
        <f t="shared" si="1"/>
        <v>NOT ACTIVE</v>
      </c>
    </row>
    <row r="309">
      <c r="A309" s="10"/>
      <c r="C309" s="30" t="str">
        <f>iferror(VLOOKUP(A309,fpros!A:C,3,false), "NOT ACTIVE")</f>
        <v>NOT ACTIVE</v>
      </c>
      <c r="D309" s="56" t="str">
        <f t="shared" si="1"/>
        <v>NOT ACTIVE</v>
      </c>
    </row>
    <row r="310">
      <c r="A310" s="10"/>
      <c r="C310" s="30" t="str">
        <f>iferror(VLOOKUP(A310,fpros!A:C,3,false), "NOT ACTIVE")</f>
        <v>NOT ACTIVE</v>
      </c>
      <c r="D310" s="56" t="str">
        <f t="shared" si="1"/>
        <v>NOT ACTIVE</v>
      </c>
    </row>
    <row r="311">
      <c r="A311" s="10"/>
      <c r="C311" s="30" t="str">
        <f>iferror(VLOOKUP(A311,fpros!A:C,3,false), "NOT ACTIVE")</f>
        <v>NOT ACTIVE</v>
      </c>
      <c r="D311" s="56" t="str">
        <f t="shared" si="1"/>
        <v>NOT ACTIVE</v>
      </c>
    </row>
    <row r="312">
      <c r="A312" s="10"/>
      <c r="C312" s="30" t="str">
        <f>iferror(VLOOKUP(A312,fpros!A:C,3,false), "NOT ACTIVE")</f>
        <v>NOT ACTIVE</v>
      </c>
      <c r="D312" s="56" t="str">
        <f t="shared" si="1"/>
        <v>NOT ACTIVE</v>
      </c>
    </row>
    <row r="313">
      <c r="A313" s="10"/>
      <c r="C313" s="30" t="str">
        <f>iferror(VLOOKUP(A313,fpros!A:C,3,false), "NOT ACTIVE")</f>
        <v>NOT ACTIVE</v>
      </c>
      <c r="D313" s="56" t="str">
        <f t="shared" si="1"/>
        <v>NOT ACTIVE</v>
      </c>
    </row>
    <row r="314">
      <c r="A314" s="10"/>
      <c r="C314" s="30" t="str">
        <f>iferror(VLOOKUP(A314,fpros!A:C,3,false), "NOT ACTIVE")</f>
        <v>NOT ACTIVE</v>
      </c>
      <c r="D314" s="56" t="str">
        <f t="shared" si="1"/>
        <v>NOT ACTIVE</v>
      </c>
    </row>
    <row r="315">
      <c r="A315" s="10"/>
      <c r="C315" s="30" t="str">
        <f>iferror(VLOOKUP(A315,fpros!A:C,3,false), "NOT ACTIVE")</f>
        <v>NOT ACTIVE</v>
      </c>
      <c r="D315" s="56" t="str">
        <f t="shared" si="1"/>
        <v>NOT ACTIVE</v>
      </c>
    </row>
    <row r="316">
      <c r="A316" s="10"/>
      <c r="C316" s="30" t="str">
        <f>iferror(VLOOKUP(A316,fpros!A:C,3,false), "NOT ACTIVE")</f>
        <v>NOT ACTIVE</v>
      </c>
      <c r="D316" s="56" t="str">
        <f t="shared" si="1"/>
        <v>NOT ACTIVE</v>
      </c>
    </row>
    <row r="317">
      <c r="A317" s="10"/>
      <c r="C317" s="30" t="str">
        <f>iferror(VLOOKUP(A317,fpros!A:C,3,false), "NOT ACTIVE")</f>
        <v>NOT ACTIVE</v>
      </c>
      <c r="D317" s="56" t="str">
        <f t="shared" si="1"/>
        <v>NOT ACTIVE</v>
      </c>
    </row>
    <row r="318">
      <c r="A318" s="10"/>
      <c r="C318" s="30" t="str">
        <f>iferror(VLOOKUP(A318,fpros!A:C,3,false), "NOT ACTIVE")</f>
        <v>NOT ACTIVE</v>
      </c>
      <c r="D318" s="56" t="str">
        <f t="shared" si="1"/>
        <v>NOT ACTIVE</v>
      </c>
    </row>
    <row r="319">
      <c r="A319" s="10"/>
      <c r="C319" s="30" t="str">
        <f>iferror(VLOOKUP(A319,fpros!A:C,3,false), "NOT ACTIVE")</f>
        <v>NOT ACTIVE</v>
      </c>
      <c r="D319" s="56" t="str">
        <f t="shared" si="1"/>
        <v>NOT ACTIVE</v>
      </c>
    </row>
    <row r="320">
      <c r="A320" s="12"/>
      <c r="C320" s="30" t="str">
        <f>iferror(VLOOKUP(A320,fpros!A:C,3,false), "NOT ACTIVE")</f>
        <v>NOT ACTIVE</v>
      </c>
      <c r="D320" s="56" t="str">
        <f t="shared" si="1"/>
        <v>NOT ACTIVE</v>
      </c>
    </row>
    <row r="321">
      <c r="A321" s="10"/>
      <c r="C321" s="30" t="str">
        <f>iferror(VLOOKUP(A321,fpros!A:C,3,false), "NOT ACTIVE")</f>
        <v>NOT ACTIVE</v>
      </c>
      <c r="D321" s="56" t="str">
        <f t="shared" si="1"/>
        <v>NOT ACTIVE</v>
      </c>
    </row>
    <row r="322">
      <c r="A322" s="10"/>
      <c r="C322" s="30" t="str">
        <f>iferror(VLOOKUP(A322,fpros!A:C,3,false), "NOT ACTIVE")</f>
        <v>NOT ACTIVE</v>
      </c>
      <c r="D322" s="56" t="str">
        <f t="shared" si="1"/>
        <v>NOT ACTIVE</v>
      </c>
    </row>
    <row r="323">
      <c r="A323" s="12"/>
      <c r="C323" s="30" t="str">
        <f>iferror(VLOOKUP(A323,fpros!A:C,3,false), "NOT ACTIVE")</f>
        <v>NOT ACTIVE</v>
      </c>
      <c r="D323" s="56" t="str">
        <f t="shared" si="1"/>
        <v>NOT ACTIVE</v>
      </c>
    </row>
    <row r="324">
      <c r="A324" s="10"/>
      <c r="C324" s="30" t="str">
        <f>iferror(VLOOKUP(A324,fpros!A:C,3,false), "NOT ACTIVE")</f>
        <v>NOT ACTIVE</v>
      </c>
      <c r="D324" s="56" t="str">
        <f t="shared" si="1"/>
        <v>NOT ACTIVE</v>
      </c>
    </row>
    <row r="325">
      <c r="A325" s="10"/>
      <c r="C325" s="30" t="str">
        <f>iferror(VLOOKUP(A325,fpros!A:C,3,false), "NOT ACTIVE")</f>
        <v>NOT ACTIVE</v>
      </c>
      <c r="D325" s="56" t="str">
        <f t="shared" si="1"/>
        <v>NOT ACTIVE</v>
      </c>
    </row>
    <row r="326">
      <c r="A326" s="10"/>
      <c r="C326" s="30" t="str">
        <f>iferror(VLOOKUP(A326,fpros!A:C,3,false), "NOT ACTIVE")</f>
        <v>NOT ACTIVE</v>
      </c>
      <c r="D326" s="56" t="str">
        <f t="shared" si="1"/>
        <v>NOT ACTIVE</v>
      </c>
    </row>
    <row r="327">
      <c r="A327" s="12"/>
      <c r="C327" s="30" t="str">
        <f>iferror(VLOOKUP(A327,fpros!A:C,3,false), "NOT ACTIVE")</f>
        <v>NOT ACTIVE</v>
      </c>
      <c r="D327" s="56" t="str">
        <f t="shared" si="1"/>
        <v>NOT ACTIVE</v>
      </c>
    </row>
    <row r="328">
      <c r="A328" s="10"/>
      <c r="C328" s="30" t="str">
        <f>iferror(VLOOKUP(A328,fpros!A:C,3,false), "NOT ACTIVE")</f>
        <v>NOT ACTIVE</v>
      </c>
      <c r="D328" s="56" t="str">
        <f t="shared" si="1"/>
        <v>NOT ACTIVE</v>
      </c>
    </row>
    <row r="329">
      <c r="A329" s="10"/>
      <c r="C329" s="30" t="str">
        <f>iferror(VLOOKUP(A329,fpros!A:C,3,false), "NOT ACTIVE")</f>
        <v>NOT ACTIVE</v>
      </c>
      <c r="D329" s="56" t="str">
        <f t="shared" si="1"/>
        <v>NOT ACTIVE</v>
      </c>
    </row>
    <row r="330">
      <c r="A330" s="12"/>
      <c r="C330" s="30" t="str">
        <f>iferror(VLOOKUP(A330,fpros!A:C,3,false), "NOT ACTIVE")</f>
        <v>NOT ACTIVE</v>
      </c>
      <c r="D330" s="56" t="str">
        <f t="shared" si="1"/>
        <v>NOT ACTIVE</v>
      </c>
    </row>
    <row r="331">
      <c r="A331" s="10"/>
      <c r="C331" s="30" t="str">
        <f>iferror(VLOOKUP(A331,fpros!A:C,3,false), "NOT ACTIVE")</f>
        <v>NOT ACTIVE</v>
      </c>
      <c r="D331" s="56" t="str">
        <f t="shared" si="1"/>
        <v>NOT ACTIVE</v>
      </c>
    </row>
    <row r="332">
      <c r="A332" s="10"/>
      <c r="C332" s="30" t="str">
        <f>iferror(VLOOKUP(A332,fpros!A:C,3,false), "NOT ACTIVE")</f>
        <v>NOT ACTIVE</v>
      </c>
      <c r="D332" s="56" t="str">
        <f t="shared" si="1"/>
        <v>NOT ACTIVE</v>
      </c>
    </row>
    <row r="333">
      <c r="A333" s="10"/>
      <c r="C333" s="30" t="str">
        <f>iferror(VLOOKUP(A333,fpros!A:C,3,false), "NOT ACTIVE")</f>
        <v>NOT ACTIVE</v>
      </c>
      <c r="D333" s="56" t="str">
        <f t="shared" si="1"/>
        <v>NOT ACTIVE</v>
      </c>
    </row>
    <row r="334">
      <c r="A334" s="13"/>
      <c r="C334" s="30" t="str">
        <f>iferror(VLOOKUP(A334,fpros!A:C,3,false), "NOT ACTIVE")</f>
        <v>NOT ACTIVE</v>
      </c>
      <c r="D334" s="56" t="str">
        <f t="shared" si="1"/>
        <v>NOT ACTIVE</v>
      </c>
    </row>
    <row r="335">
      <c r="A335" s="13"/>
      <c r="C335" s="30" t="str">
        <f>iferror(VLOOKUP(A335,fpros!A:C,3,false), "NOT ACTIVE")</f>
        <v>NOT ACTIVE</v>
      </c>
      <c r="D335" s="56" t="str">
        <f t="shared" si="1"/>
        <v>NOT ACTIVE</v>
      </c>
    </row>
    <row r="336">
      <c r="A336" s="13"/>
      <c r="C336" s="30" t="str">
        <f>iferror(VLOOKUP(A336,fpros!A:C,3,false), "NOT ACTIVE")</f>
        <v>NOT ACTIVE</v>
      </c>
      <c r="D336" s="56" t="str">
        <f t="shared" si="1"/>
        <v>NOT ACTIVE</v>
      </c>
    </row>
    <row r="337">
      <c r="A337" s="13"/>
      <c r="C337" s="30" t="str">
        <f>iferror(VLOOKUP(A337,fpros!A:C,3,false), "NOT ACTIVE")</f>
        <v>NOT ACTIVE</v>
      </c>
      <c r="D337" s="56" t="str">
        <f t="shared" si="1"/>
        <v>NOT ACTIVE</v>
      </c>
    </row>
    <row r="338">
      <c r="A338" s="13"/>
      <c r="C338" s="30" t="str">
        <f>iferror(VLOOKUP(A338,fpros!A:C,3,false), "NOT ACTIVE")</f>
        <v>NOT ACTIVE</v>
      </c>
      <c r="D338" s="56" t="str">
        <f t="shared" si="1"/>
        <v>NOT ACTIVE</v>
      </c>
    </row>
    <row r="339">
      <c r="A339" s="13"/>
      <c r="C339" s="30" t="str">
        <f>iferror(VLOOKUP(A339,fpros!A:C,3,false), "NOT ACTIVE")</f>
        <v>NOT ACTIVE</v>
      </c>
      <c r="D339" s="56" t="str">
        <f t="shared" si="1"/>
        <v>NOT ACTIVE</v>
      </c>
    </row>
    <row r="340">
      <c r="A340" s="13"/>
      <c r="C340" s="30" t="str">
        <f>iferror(VLOOKUP(A340,fpros!A:C,3,false), "NOT ACTIVE")</f>
        <v>NOT ACTIVE</v>
      </c>
      <c r="D340" s="56" t="str">
        <f t="shared" si="1"/>
        <v>NOT ACTIVE</v>
      </c>
    </row>
    <row r="341">
      <c r="A341" s="13"/>
      <c r="C341" s="30" t="str">
        <f>iferror(VLOOKUP(A341,fpros!A:C,3,false), "NOT ACTIVE")</f>
        <v>NOT ACTIVE</v>
      </c>
      <c r="D341" s="56" t="str">
        <f t="shared" si="1"/>
        <v>NOT ACTIVE</v>
      </c>
    </row>
    <row r="342">
      <c r="A342" s="13"/>
      <c r="C342" s="30" t="str">
        <f>iferror(VLOOKUP(A342,fpros!A:C,3,false), "NOT ACTIVE")</f>
        <v>NOT ACTIVE</v>
      </c>
      <c r="D342" s="56" t="str">
        <f t="shared" si="1"/>
        <v>NOT ACTIVE</v>
      </c>
    </row>
    <row r="343">
      <c r="A343" s="13"/>
      <c r="C343" s="30" t="str">
        <f>iferror(VLOOKUP(A343,fpros!A:C,3,false), "NOT ACTIVE")</f>
        <v>NOT ACTIVE</v>
      </c>
      <c r="D343" s="56" t="str">
        <f t="shared" si="1"/>
        <v>NOT ACTIVE</v>
      </c>
    </row>
    <row r="344">
      <c r="A344" s="13"/>
      <c r="C344" s="30" t="str">
        <f>iferror(VLOOKUP(A344,fpros!A:C,3,false), "NOT ACTIVE")</f>
        <v>NOT ACTIVE</v>
      </c>
      <c r="D344" s="56" t="str">
        <f t="shared" si="1"/>
        <v>NOT ACTIVE</v>
      </c>
    </row>
    <row r="345">
      <c r="A345" s="13"/>
      <c r="C345" s="30" t="str">
        <f>iferror(VLOOKUP(A345,fpros!A:C,3,false), "NOT ACTIVE")</f>
        <v>NOT ACTIVE</v>
      </c>
      <c r="D345" s="56" t="str">
        <f t="shared" si="1"/>
        <v>NOT ACTIVE</v>
      </c>
    </row>
    <row r="346">
      <c r="A346" s="13"/>
      <c r="C346" s="30" t="str">
        <f>iferror(VLOOKUP(A346,fpros!A:C,3,false), "NOT ACTIVE")</f>
        <v>NOT ACTIVE</v>
      </c>
      <c r="D346" s="56" t="str">
        <f t="shared" si="1"/>
        <v>NOT ACTIVE</v>
      </c>
    </row>
    <row r="347">
      <c r="A347" s="13"/>
      <c r="C347" s="30" t="str">
        <f>iferror(VLOOKUP(A347,fpros!A:C,3,false), "NOT ACTIVE")</f>
        <v>NOT ACTIVE</v>
      </c>
      <c r="D347" s="56" t="str">
        <f t="shared" si="1"/>
        <v>NOT ACTIVE</v>
      </c>
    </row>
    <row r="348">
      <c r="A348" s="13"/>
      <c r="C348" s="30" t="str">
        <f>iferror(VLOOKUP(A348,fpros!A:C,3,false), "NOT ACTIVE")</f>
        <v>NOT ACTIVE</v>
      </c>
      <c r="D348" s="56" t="str">
        <f t="shared" si="1"/>
        <v>NOT ACTIVE</v>
      </c>
    </row>
    <row r="349">
      <c r="A349" s="13"/>
      <c r="C349" s="30" t="str">
        <f>iferror(VLOOKUP(A349,fpros!A:C,3,false), "NOT ACTIVE")</f>
        <v>NOT ACTIVE</v>
      </c>
      <c r="D349" s="56" t="str">
        <f t="shared" si="1"/>
        <v>NOT ACTIVE</v>
      </c>
    </row>
    <row r="350">
      <c r="A350" s="13"/>
      <c r="C350" s="30" t="str">
        <f>iferror(VLOOKUP(A350,fpros!A:C,3,false), "NOT ACTIVE")</f>
        <v>NOT ACTIVE</v>
      </c>
      <c r="D350" s="56" t="str">
        <f t="shared" si="1"/>
        <v>NOT ACTIVE</v>
      </c>
    </row>
    <row r="351">
      <c r="A351" s="13"/>
      <c r="C351" s="30" t="str">
        <f>iferror(VLOOKUP(A351,fpros!A:C,3,false), "NOT ACTIVE")</f>
        <v>NOT ACTIVE</v>
      </c>
      <c r="D351" s="56" t="str">
        <f t="shared" si="1"/>
        <v>NOT ACTIVE</v>
      </c>
    </row>
    <row r="352">
      <c r="A352" s="13"/>
      <c r="C352" s="30" t="str">
        <f>iferror(VLOOKUP(A352,fpros!A:C,3,false), "NOT ACTIVE")</f>
        <v>NOT ACTIVE</v>
      </c>
      <c r="D352" s="56" t="str">
        <f t="shared" si="1"/>
        <v>NOT ACTIVE</v>
      </c>
    </row>
    <row r="353">
      <c r="A353" s="13"/>
      <c r="C353" s="30" t="str">
        <f>iferror(VLOOKUP(A353,fpros!A:C,3,false), "NOT ACTIVE")</f>
        <v>NOT ACTIVE</v>
      </c>
      <c r="D353" s="56" t="str">
        <f t="shared" si="1"/>
        <v>NOT ACTIVE</v>
      </c>
    </row>
    <row r="354">
      <c r="A354" s="13"/>
      <c r="C354" s="30" t="str">
        <f>iferror(VLOOKUP(A354,fpros!A:C,3,false), "NOT ACTIVE")</f>
        <v>NOT ACTIVE</v>
      </c>
      <c r="D354" s="56" t="str">
        <f t="shared" si="1"/>
        <v>NOT ACTIVE</v>
      </c>
    </row>
    <row r="355">
      <c r="A355" s="13"/>
      <c r="C355" s="30" t="str">
        <f>iferror(VLOOKUP(A355,fpros!A:C,3,false), "NOT ACTIVE")</f>
        <v>NOT ACTIVE</v>
      </c>
      <c r="D355" s="56" t="str">
        <f t="shared" si="1"/>
        <v>NOT ACTIVE</v>
      </c>
    </row>
    <row r="356">
      <c r="A356" s="13"/>
      <c r="C356" s="30" t="str">
        <f>iferror(VLOOKUP(A356,fpros!A:C,3,false), "NOT ACTIVE")</f>
        <v>NOT ACTIVE</v>
      </c>
      <c r="D356" s="56" t="str">
        <f t="shared" si="1"/>
        <v>NOT ACTIVE</v>
      </c>
    </row>
    <row r="357">
      <c r="A357" s="13"/>
      <c r="C357" s="30" t="str">
        <f>iferror(VLOOKUP(A357,fpros!A:C,3,false), "NOT ACTIVE")</f>
        <v>NOT ACTIVE</v>
      </c>
      <c r="D357" s="56" t="str">
        <f t="shared" si="1"/>
        <v>NOT ACTIVE</v>
      </c>
    </row>
    <row r="358">
      <c r="A358" s="13"/>
      <c r="C358" s="30" t="str">
        <f>iferror(VLOOKUP(A358,fpros!A:C,3,false), "NOT ACTIVE")</f>
        <v>NOT ACTIVE</v>
      </c>
      <c r="D358" s="56" t="str">
        <f t="shared" si="1"/>
        <v>NOT ACTIVE</v>
      </c>
    </row>
    <row r="359">
      <c r="A359" s="13"/>
      <c r="C359" s="30" t="str">
        <f>iferror(VLOOKUP(A359,fpros!A:C,3,false), "NOT ACTIVE")</f>
        <v>NOT ACTIVE</v>
      </c>
      <c r="D359" s="56" t="str">
        <f t="shared" si="1"/>
        <v>NOT ACTIVE</v>
      </c>
    </row>
    <row r="360">
      <c r="A360" s="13"/>
      <c r="C360" s="30" t="str">
        <f>iferror(VLOOKUP(A360,fpros!A:C,3,false), "NOT ACTIVE")</f>
        <v>NOT ACTIVE</v>
      </c>
      <c r="D360" s="56" t="str">
        <f t="shared" si="1"/>
        <v>NOT ACTIVE</v>
      </c>
    </row>
    <row r="361">
      <c r="A361" s="13"/>
      <c r="C361" s="30" t="str">
        <f>iferror(VLOOKUP(A361,fpros!A:C,3,false), "NOT ACTIVE")</f>
        <v>NOT ACTIVE</v>
      </c>
      <c r="D361" s="56" t="str">
        <f t="shared" si="1"/>
        <v>NOT ACTIVE</v>
      </c>
    </row>
    <row r="362">
      <c r="A362" s="13"/>
      <c r="C362" s="30" t="str">
        <f>iferror(VLOOKUP(A362,fpros!A:C,3,false), "NOT ACTIVE")</f>
        <v>NOT ACTIVE</v>
      </c>
      <c r="D362" s="56" t="str">
        <f t="shared" si="1"/>
        <v>NOT ACTIVE</v>
      </c>
    </row>
    <row r="363">
      <c r="A363" s="13"/>
      <c r="C363" s="30" t="str">
        <f>iferror(VLOOKUP(A363,fpros!A:C,3,false), "NOT ACTIVE")</f>
        <v>NOT ACTIVE</v>
      </c>
      <c r="D363" s="56" t="str">
        <f t="shared" si="1"/>
        <v>NOT ACTIVE</v>
      </c>
    </row>
    <row r="364">
      <c r="A364" s="13"/>
      <c r="D364" s="56"/>
    </row>
    <row r="365">
      <c r="A365" s="13"/>
      <c r="D365" s="56"/>
    </row>
    <row r="366">
      <c r="A366" s="13"/>
      <c r="D366" s="56"/>
    </row>
    <row r="367">
      <c r="A367" s="13"/>
      <c r="D367" s="56"/>
    </row>
    <row r="368">
      <c r="A368" s="13"/>
      <c r="D368" s="56"/>
    </row>
    <row r="369">
      <c r="A369" s="13"/>
      <c r="D369" s="56"/>
    </row>
    <row r="370">
      <c r="A370" s="13"/>
      <c r="D370" s="56"/>
    </row>
    <row r="371">
      <c r="A371" s="13"/>
      <c r="D371" s="56"/>
    </row>
    <row r="372">
      <c r="A372" s="13"/>
      <c r="D372" s="56"/>
    </row>
    <row r="373">
      <c r="A373" s="13"/>
      <c r="D373" s="56"/>
    </row>
    <row r="374">
      <c r="A374" s="13"/>
      <c r="D374" s="56"/>
    </row>
    <row r="375">
      <c r="A375" s="13"/>
      <c r="D375" s="56"/>
    </row>
    <row r="376">
      <c r="A376" s="13"/>
      <c r="D376" s="56"/>
    </row>
    <row r="377">
      <c r="A377" s="13"/>
      <c r="D377" s="56"/>
    </row>
    <row r="378">
      <c r="A378" s="13"/>
      <c r="D378" s="56"/>
    </row>
    <row r="379">
      <c r="A379" s="13"/>
      <c r="D379" s="56"/>
    </row>
    <row r="380">
      <c r="A380" s="13"/>
      <c r="D380" s="56"/>
    </row>
    <row r="381">
      <c r="A381" s="13"/>
      <c r="D381" s="56"/>
    </row>
    <row r="382">
      <c r="A382" s="13"/>
      <c r="D382" s="56"/>
    </row>
    <row r="383">
      <c r="A383" s="13"/>
      <c r="D383" s="56"/>
    </row>
    <row r="384">
      <c r="A384" s="13"/>
      <c r="D384" s="56"/>
    </row>
    <row r="385">
      <c r="A385" s="13"/>
      <c r="D385" s="56"/>
    </row>
    <row r="386">
      <c r="A386" s="13"/>
      <c r="D386" s="56"/>
    </row>
    <row r="387">
      <c r="A387" s="13"/>
      <c r="D387" s="56"/>
    </row>
    <row r="388">
      <c r="A388" s="13"/>
      <c r="D388" s="56"/>
    </row>
    <row r="389">
      <c r="A389" s="13"/>
      <c r="D389" s="56"/>
    </row>
    <row r="390">
      <c r="A390" s="13"/>
      <c r="D390" s="56"/>
    </row>
    <row r="391">
      <c r="A391" s="13"/>
      <c r="D391" s="56"/>
    </row>
    <row r="392">
      <c r="A392" s="13"/>
      <c r="D392" s="56"/>
    </row>
    <row r="393">
      <c r="A393" s="13"/>
      <c r="D393" s="56"/>
    </row>
    <row r="394">
      <c r="A394" s="13"/>
      <c r="D394" s="56"/>
    </row>
    <row r="395">
      <c r="A395" s="13"/>
      <c r="D395" s="56"/>
    </row>
    <row r="396">
      <c r="A396" s="13"/>
      <c r="D396" s="56"/>
    </row>
    <row r="397">
      <c r="A397" s="13"/>
      <c r="D397" s="56"/>
    </row>
    <row r="398">
      <c r="A398" s="13"/>
      <c r="D398" s="56"/>
    </row>
    <row r="399">
      <c r="A399" s="13"/>
      <c r="D399" s="56"/>
    </row>
    <row r="400">
      <c r="A400" s="13"/>
      <c r="D400" s="56"/>
    </row>
    <row r="401">
      <c r="A401" s="13"/>
      <c r="D401" s="56"/>
    </row>
    <row r="402">
      <c r="A402" s="13"/>
      <c r="D402" s="56"/>
    </row>
    <row r="403">
      <c r="A403" s="13"/>
      <c r="D403" s="56"/>
    </row>
    <row r="404">
      <c r="A404" s="13"/>
      <c r="D404" s="56"/>
    </row>
    <row r="405">
      <c r="A405" s="13"/>
      <c r="D405" s="56"/>
    </row>
    <row r="406">
      <c r="A406" s="13"/>
      <c r="D406" s="56"/>
    </row>
    <row r="407">
      <c r="A407" s="13"/>
      <c r="D407" s="56"/>
    </row>
    <row r="408">
      <c r="A408" s="13"/>
      <c r="D408" s="56"/>
    </row>
    <row r="409">
      <c r="A409" s="13"/>
      <c r="D409" s="56"/>
    </row>
    <row r="410">
      <c r="A410" s="13"/>
      <c r="D410" s="56"/>
    </row>
    <row r="411">
      <c r="A411" s="13"/>
      <c r="D411" s="56"/>
    </row>
    <row r="412">
      <c r="A412" s="13"/>
      <c r="D412" s="56"/>
    </row>
    <row r="413">
      <c r="A413" s="13"/>
      <c r="D413" s="56"/>
    </row>
    <row r="414">
      <c r="A414" s="13"/>
      <c r="D414" s="56"/>
    </row>
    <row r="415">
      <c r="A415" s="13"/>
      <c r="D415" s="56"/>
    </row>
    <row r="416">
      <c r="A416" s="13"/>
      <c r="D416" s="56"/>
    </row>
    <row r="417">
      <c r="A417" s="13"/>
      <c r="D417" s="56"/>
    </row>
    <row r="418">
      <c r="A418" s="13"/>
      <c r="D418" s="56"/>
    </row>
    <row r="419">
      <c r="A419" s="13"/>
      <c r="D419" s="56"/>
    </row>
    <row r="420">
      <c r="A420" s="13"/>
      <c r="D420" s="56"/>
    </row>
    <row r="421">
      <c r="A421" s="13"/>
      <c r="D421" s="56"/>
    </row>
    <row r="422">
      <c r="A422" s="13"/>
      <c r="D422" s="56"/>
    </row>
    <row r="423">
      <c r="A423" s="13"/>
      <c r="D423" s="56"/>
    </row>
    <row r="424">
      <c r="A424" s="13"/>
      <c r="D424" s="56"/>
    </row>
    <row r="425">
      <c r="A425" s="13"/>
      <c r="D425" s="56"/>
    </row>
    <row r="426">
      <c r="A426" s="13"/>
      <c r="D426" s="56"/>
    </row>
    <row r="427">
      <c r="A427" s="13"/>
      <c r="D427" s="56"/>
    </row>
    <row r="428">
      <c r="A428" s="13"/>
      <c r="D428" s="56"/>
    </row>
    <row r="429">
      <c r="A429" s="13"/>
      <c r="D429" s="56"/>
    </row>
    <row r="430">
      <c r="A430" s="13"/>
      <c r="D430" s="56"/>
    </row>
    <row r="431">
      <c r="A431" s="13"/>
      <c r="D431" s="56"/>
    </row>
    <row r="432">
      <c r="A432" s="13"/>
      <c r="D432" s="56"/>
    </row>
    <row r="433">
      <c r="A433" s="13"/>
      <c r="D433" s="56"/>
    </row>
    <row r="434">
      <c r="A434" s="13"/>
      <c r="D434" s="56"/>
    </row>
    <row r="435">
      <c r="A435" s="13"/>
      <c r="D435" s="56"/>
    </row>
    <row r="436">
      <c r="A436" s="13"/>
      <c r="D436" s="56"/>
    </row>
    <row r="437">
      <c r="A437" s="13"/>
      <c r="D437" s="56"/>
    </row>
    <row r="438">
      <c r="A438" s="13"/>
      <c r="D438" s="56"/>
    </row>
    <row r="439">
      <c r="A439" s="13"/>
      <c r="D439" s="56"/>
    </row>
    <row r="440">
      <c r="A440" s="13"/>
      <c r="D440" s="56"/>
    </row>
    <row r="441">
      <c r="A441" s="13"/>
      <c r="D441" s="56"/>
    </row>
    <row r="442">
      <c r="A442" s="13"/>
      <c r="D442" s="56"/>
    </row>
    <row r="443">
      <c r="A443" s="13"/>
      <c r="D443" s="56"/>
    </row>
    <row r="444">
      <c r="A444" s="13"/>
      <c r="D444" s="56"/>
    </row>
    <row r="445">
      <c r="A445" s="13"/>
      <c r="D445" s="56"/>
    </row>
    <row r="446">
      <c r="A446" s="13"/>
      <c r="D446" s="56"/>
    </row>
    <row r="447">
      <c r="A447" s="13"/>
      <c r="D447" s="56"/>
    </row>
    <row r="448">
      <c r="A448" s="13"/>
      <c r="D448" s="56"/>
    </row>
    <row r="449">
      <c r="A449" s="13"/>
      <c r="D449" s="56"/>
    </row>
    <row r="450">
      <c r="A450" s="13"/>
      <c r="D450" s="56"/>
    </row>
    <row r="451">
      <c r="A451" s="13"/>
      <c r="D451" s="56"/>
    </row>
    <row r="452">
      <c r="A452" s="13"/>
      <c r="D452" s="56"/>
    </row>
    <row r="453">
      <c r="A453" s="13"/>
      <c r="D453" s="56"/>
    </row>
    <row r="454">
      <c r="A454" s="13"/>
      <c r="D454" s="56"/>
    </row>
    <row r="455">
      <c r="A455" s="13"/>
      <c r="D455" s="56"/>
    </row>
    <row r="456">
      <c r="A456" s="13"/>
      <c r="D456" s="56"/>
    </row>
    <row r="457">
      <c r="A457" s="13"/>
      <c r="D457" s="56"/>
    </row>
    <row r="458">
      <c r="A458" s="13"/>
      <c r="D458" s="56"/>
    </row>
    <row r="459">
      <c r="A459" s="13"/>
      <c r="D459" s="56"/>
    </row>
    <row r="460">
      <c r="A460" s="13"/>
      <c r="D460" s="56"/>
    </row>
    <row r="461">
      <c r="A461" s="13"/>
      <c r="D461" s="56"/>
    </row>
    <row r="462">
      <c r="A462" s="13"/>
      <c r="D462" s="56"/>
    </row>
    <row r="463">
      <c r="A463" s="13"/>
      <c r="D463" s="56"/>
    </row>
    <row r="464">
      <c r="A464" s="13"/>
      <c r="D464" s="56"/>
    </row>
    <row r="465">
      <c r="A465" s="13"/>
      <c r="D465" s="56"/>
    </row>
    <row r="466">
      <c r="A466" s="13"/>
      <c r="D466" s="56"/>
    </row>
    <row r="467">
      <c r="A467" s="13"/>
      <c r="D467" s="56"/>
    </row>
    <row r="468">
      <c r="A468" s="13"/>
      <c r="D468" s="56"/>
    </row>
    <row r="469">
      <c r="A469" s="13"/>
      <c r="D469" s="56"/>
    </row>
    <row r="470">
      <c r="A470" s="13"/>
      <c r="D470" s="56"/>
    </row>
    <row r="471">
      <c r="A471" s="13"/>
      <c r="D471" s="56"/>
    </row>
    <row r="472">
      <c r="A472" s="13"/>
      <c r="D472" s="56"/>
    </row>
    <row r="473">
      <c r="A473" s="13"/>
      <c r="D473" s="56"/>
    </row>
    <row r="474">
      <c r="A474" s="13"/>
      <c r="D474" s="56"/>
    </row>
    <row r="475">
      <c r="A475" s="13"/>
      <c r="D475" s="56"/>
    </row>
    <row r="476">
      <c r="A476" s="13"/>
      <c r="D476" s="56"/>
    </row>
    <row r="477">
      <c r="A477" s="13"/>
      <c r="D477" s="56"/>
    </row>
    <row r="478">
      <c r="A478" s="13"/>
      <c r="D478" s="56"/>
    </row>
    <row r="479">
      <c r="A479" s="13"/>
      <c r="D479" s="56"/>
    </row>
    <row r="480">
      <c r="A480" s="13"/>
      <c r="D480" s="56"/>
    </row>
    <row r="481">
      <c r="A481" s="13"/>
      <c r="D481" s="56"/>
    </row>
    <row r="482">
      <c r="A482" s="13"/>
      <c r="D482" s="56"/>
    </row>
    <row r="483">
      <c r="A483" s="13"/>
      <c r="D483" s="56"/>
    </row>
    <row r="484">
      <c r="A484" s="13"/>
      <c r="D484" s="56"/>
    </row>
    <row r="485">
      <c r="A485" s="13"/>
      <c r="D485" s="56"/>
    </row>
    <row r="486">
      <c r="A486" s="13"/>
      <c r="D486" s="56"/>
    </row>
    <row r="487">
      <c r="A487" s="13"/>
      <c r="D487" s="56"/>
    </row>
    <row r="488">
      <c r="A488" s="13"/>
      <c r="D488" s="56"/>
    </row>
    <row r="489">
      <c r="A489" s="13"/>
      <c r="D489" s="56"/>
    </row>
    <row r="490">
      <c r="A490" s="13"/>
      <c r="D490" s="56"/>
    </row>
    <row r="491">
      <c r="A491" s="13"/>
      <c r="D491" s="56"/>
    </row>
    <row r="492">
      <c r="A492" s="13"/>
      <c r="D492" s="56"/>
    </row>
    <row r="493">
      <c r="A493" s="13"/>
      <c r="D493" s="56"/>
    </row>
    <row r="494">
      <c r="A494" s="13"/>
      <c r="D494" s="56"/>
    </row>
    <row r="495">
      <c r="A495" s="13"/>
      <c r="D495" s="56"/>
    </row>
    <row r="496">
      <c r="A496" s="13"/>
      <c r="D496" s="56"/>
    </row>
    <row r="497">
      <c r="A497" s="13"/>
      <c r="D497" s="56"/>
    </row>
    <row r="498">
      <c r="A498" s="13"/>
      <c r="D498" s="56"/>
    </row>
    <row r="499">
      <c r="A499" s="13"/>
      <c r="D499" s="56"/>
    </row>
    <row r="500">
      <c r="A500" s="13"/>
      <c r="D500" s="56"/>
    </row>
    <row r="501">
      <c r="A501" s="13"/>
      <c r="D501" s="56"/>
    </row>
    <row r="502">
      <c r="A502" s="13"/>
      <c r="D502" s="56"/>
    </row>
    <row r="503">
      <c r="A503" s="13"/>
      <c r="D503" s="56"/>
    </row>
    <row r="504">
      <c r="A504" s="13"/>
      <c r="D504" s="56"/>
    </row>
    <row r="505">
      <c r="A505" s="13"/>
      <c r="D505" s="56"/>
    </row>
    <row r="506">
      <c r="A506" s="13"/>
      <c r="D506" s="56"/>
    </row>
    <row r="507">
      <c r="A507" s="13"/>
      <c r="D507" s="56"/>
    </row>
    <row r="508">
      <c r="A508" s="13"/>
      <c r="D508" s="56"/>
    </row>
    <row r="509">
      <c r="A509" s="13"/>
      <c r="D509" s="56"/>
    </row>
    <row r="510">
      <c r="A510" s="13"/>
      <c r="D510" s="56"/>
    </row>
    <row r="511">
      <c r="A511" s="13"/>
      <c r="D511" s="56"/>
    </row>
    <row r="512">
      <c r="A512" s="13"/>
      <c r="D512" s="56"/>
    </row>
    <row r="513">
      <c r="A513" s="13"/>
      <c r="D513" s="56"/>
    </row>
    <row r="514">
      <c r="A514" s="13"/>
      <c r="D514" s="56"/>
    </row>
    <row r="515">
      <c r="A515" s="13"/>
      <c r="D515" s="56"/>
    </row>
    <row r="516">
      <c r="A516" s="13"/>
      <c r="D516" s="56"/>
    </row>
    <row r="517">
      <c r="A517" s="13"/>
      <c r="D517" s="56"/>
    </row>
    <row r="518">
      <c r="A518" s="13"/>
      <c r="D518" s="56"/>
    </row>
    <row r="519">
      <c r="A519" s="13"/>
      <c r="D519" s="56"/>
    </row>
    <row r="520">
      <c r="A520" s="13"/>
      <c r="D520" s="56"/>
    </row>
    <row r="521">
      <c r="A521" s="13"/>
      <c r="D521" s="56"/>
    </row>
    <row r="522">
      <c r="A522" s="13"/>
      <c r="D522" s="56"/>
    </row>
    <row r="523">
      <c r="A523" s="13"/>
      <c r="D523" s="56"/>
    </row>
    <row r="524">
      <c r="A524" s="13"/>
      <c r="D524" s="56"/>
    </row>
    <row r="525">
      <c r="A525" s="13"/>
      <c r="D525" s="56"/>
    </row>
    <row r="526">
      <c r="A526" s="13"/>
      <c r="D526" s="56"/>
    </row>
    <row r="527">
      <c r="A527" s="13"/>
      <c r="D527" s="56"/>
    </row>
    <row r="528">
      <c r="A528" s="13"/>
      <c r="D528" s="56"/>
    </row>
    <row r="529">
      <c r="A529" s="13"/>
      <c r="D529" s="56"/>
    </row>
    <row r="530">
      <c r="A530" s="13"/>
      <c r="D530" s="56"/>
    </row>
    <row r="531">
      <c r="A531" s="13"/>
      <c r="D531" s="56"/>
    </row>
    <row r="532">
      <c r="A532" s="13"/>
      <c r="D532" s="56"/>
    </row>
    <row r="533">
      <c r="A533" s="13"/>
      <c r="D533" s="56"/>
    </row>
    <row r="534">
      <c r="A534" s="13"/>
      <c r="D534" s="56"/>
    </row>
    <row r="535">
      <c r="A535" s="13"/>
      <c r="D535" s="56"/>
    </row>
    <row r="536">
      <c r="A536" s="13"/>
      <c r="D536" s="56"/>
    </row>
    <row r="537">
      <c r="A537" s="13"/>
      <c r="D537" s="56"/>
    </row>
    <row r="538">
      <c r="A538" s="13"/>
      <c r="D538" s="56"/>
    </row>
    <row r="539">
      <c r="A539" s="13"/>
      <c r="D539" s="56"/>
    </row>
    <row r="540">
      <c r="A540" s="13"/>
      <c r="D540" s="56"/>
    </row>
    <row r="541">
      <c r="A541" s="13"/>
      <c r="D541" s="56"/>
    </row>
    <row r="542">
      <c r="A542" s="13"/>
      <c r="D542" s="56"/>
    </row>
    <row r="543">
      <c r="A543" s="13"/>
      <c r="D543" s="56"/>
    </row>
    <row r="544">
      <c r="A544" s="13"/>
      <c r="D544" s="56"/>
    </row>
    <row r="545">
      <c r="A545" s="13"/>
      <c r="D545" s="56"/>
    </row>
    <row r="546">
      <c r="A546" s="13"/>
      <c r="D546" s="56"/>
    </row>
    <row r="547">
      <c r="A547" s="13"/>
      <c r="D547" s="56"/>
    </row>
    <row r="548">
      <c r="A548" s="13"/>
      <c r="D548" s="56"/>
    </row>
    <row r="549">
      <c r="A549" s="13"/>
      <c r="D549" s="56"/>
    </row>
    <row r="550">
      <c r="A550" s="13"/>
      <c r="D550" s="56"/>
    </row>
    <row r="551">
      <c r="A551" s="13"/>
      <c r="D551" s="56"/>
    </row>
    <row r="552">
      <c r="A552" s="13"/>
      <c r="D552" s="56"/>
    </row>
    <row r="553">
      <c r="A553" s="13"/>
      <c r="D553" s="56"/>
    </row>
    <row r="554">
      <c r="A554" s="13"/>
      <c r="D554" s="56"/>
    </row>
    <row r="555">
      <c r="A555" s="13"/>
      <c r="D555" s="56"/>
    </row>
    <row r="556">
      <c r="A556" s="13"/>
      <c r="D556" s="56"/>
    </row>
    <row r="557">
      <c r="A557" s="13"/>
      <c r="D557" s="56"/>
    </row>
    <row r="558">
      <c r="A558" s="13"/>
      <c r="D558" s="56"/>
    </row>
    <row r="559">
      <c r="A559" s="13"/>
      <c r="D559" s="56"/>
    </row>
    <row r="560">
      <c r="A560" s="13"/>
      <c r="D560" s="56"/>
    </row>
    <row r="561">
      <c r="A561" s="13"/>
      <c r="D561" s="56"/>
    </row>
    <row r="562">
      <c r="A562" s="13"/>
      <c r="D562" s="56"/>
    </row>
    <row r="563">
      <c r="A563" s="13"/>
      <c r="D563" s="56"/>
    </row>
    <row r="564">
      <c r="A564" s="13"/>
      <c r="D564" s="56"/>
    </row>
    <row r="565">
      <c r="A565" s="13"/>
      <c r="D565" s="56"/>
    </row>
    <row r="566">
      <c r="A566" s="13"/>
      <c r="D566" s="56"/>
    </row>
    <row r="567">
      <c r="A567" s="13"/>
      <c r="D567" s="56"/>
    </row>
    <row r="568">
      <c r="A568" s="13"/>
      <c r="D568" s="56"/>
    </row>
    <row r="569">
      <c r="A569" s="13"/>
      <c r="D569" s="56"/>
    </row>
    <row r="570">
      <c r="A570" s="13"/>
      <c r="D570" s="56"/>
    </row>
    <row r="571">
      <c r="A571" s="13"/>
      <c r="D571" s="56"/>
    </row>
    <row r="572">
      <c r="A572" s="13"/>
      <c r="D572" s="56"/>
    </row>
    <row r="573">
      <c r="A573" s="13"/>
      <c r="D573" s="56"/>
    </row>
    <row r="574">
      <c r="A574" s="13"/>
      <c r="D574" s="56"/>
    </row>
    <row r="575">
      <c r="A575" s="13"/>
      <c r="D575" s="56"/>
    </row>
    <row r="576">
      <c r="A576" s="13"/>
      <c r="D576" s="56"/>
    </row>
    <row r="577">
      <c r="A577" s="13"/>
      <c r="D577" s="56"/>
    </row>
    <row r="578">
      <c r="A578" s="13"/>
      <c r="D578" s="56"/>
    </row>
    <row r="579">
      <c r="A579" s="13"/>
      <c r="D579" s="56"/>
    </row>
    <row r="580">
      <c r="A580" s="13"/>
      <c r="D580" s="56"/>
    </row>
    <row r="581">
      <c r="A581" s="13"/>
      <c r="D581" s="56"/>
    </row>
    <row r="582">
      <c r="A582" s="13"/>
      <c r="D582" s="56"/>
    </row>
    <row r="583">
      <c r="A583" s="13"/>
      <c r="D583" s="56"/>
    </row>
    <row r="584">
      <c r="A584" s="13"/>
      <c r="D584" s="56"/>
    </row>
    <row r="585">
      <c r="A585" s="13"/>
      <c r="D585" s="56"/>
    </row>
    <row r="586">
      <c r="A586" s="13"/>
      <c r="D586" s="56"/>
    </row>
    <row r="587">
      <c r="A587" s="13"/>
      <c r="D587" s="56"/>
    </row>
    <row r="588">
      <c r="A588" s="13"/>
      <c r="D588" s="56"/>
    </row>
    <row r="589">
      <c r="A589" s="13"/>
      <c r="D589" s="56"/>
    </row>
    <row r="590">
      <c r="A590" s="13"/>
      <c r="D590" s="56"/>
    </row>
    <row r="591">
      <c r="A591" s="13"/>
      <c r="D591" s="56"/>
    </row>
    <row r="592">
      <c r="A592" s="13"/>
      <c r="D592" s="56"/>
    </row>
    <row r="593">
      <c r="A593" s="13"/>
      <c r="D593" s="56"/>
    </row>
    <row r="594">
      <c r="A594" s="13"/>
      <c r="D594" s="56"/>
    </row>
    <row r="595">
      <c r="A595" s="13"/>
      <c r="D595" s="56"/>
    </row>
    <row r="596">
      <c r="A596" s="13"/>
      <c r="D596" s="56"/>
    </row>
    <row r="597">
      <c r="A597" s="13"/>
      <c r="D597" s="56"/>
    </row>
    <row r="598">
      <c r="A598" s="13"/>
      <c r="D598" s="56"/>
    </row>
    <row r="599">
      <c r="A599" s="13"/>
      <c r="D599" s="56"/>
    </row>
    <row r="600">
      <c r="A600" s="13"/>
      <c r="D600" s="56"/>
    </row>
    <row r="601">
      <c r="A601" s="13"/>
      <c r="D601" s="56"/>
    </row>
    <row r="602">
      <c r="A602" s="13"/>
      <c r="D602" s="56"/>
    </row>
    <row r="603">
      <c r="A603" s="13"/>
      <c r="D603" s="56"/>
    </row>
    <row r="604">
      <c r="A604" s="13"/>
      <c r="D604" s="56"/>
    </row>
    <row r="605">
      <c r="A605" s="13"/>
      <c r="D605" s="56"/>
    </row>
    <row r="606">
      <c r="A606" s="13"/>
      <c r="D606" s="56"/>
    </row>
    <row r="607">
      <c r="A607" s="13"/>
      <c r="D607" s="56"/>
    </row>
    <row r="608">
      <c r="A608" s="13"/>
      <c r="D608" s="56"/>
    </row>
    <row r="609">
      <c r="A609" s="13"/>
      <c r="D609" s="56"/>
    </row>
    <row r="610">
      <c r="A610" s="13"/>
      <c r="D610" s="56"/>
    </row>
    <row r="611">
      <c r="A611" s="13"/>
      <c r="D611" s="56"/>
    </row>
    <row r="612">
      <c r="A612" s="13"/>
      <c r="D612" s="56"/>
    </row>
    <row r="613">
      <c r="A613" s="13"/>
      <c r="D613" s="56"/>
    </row>
    <row r="614">
      <c r="A614" s="13"/>
      <c r="D614" s="56"/>
    </row>
    <row r="615">
      <c r="A615" s="13"/>
      <c r="D615" s="56"/>
    </row>
    <row r="616">
      <c r="A616" s="13"/>
      <c r="D616" s="56"/>
    </row>
    <row r="617">
      <c r="A617" s="13"/>
      <c r="D617" s="56"/>
    </row>
    <row r="618">
      <c r="A618" s="13"/>
      <c r="D618" s="56"/>
    </row>
    <row r="619">
      <c r="A619" s="13"/>
      <c r="D619" s="56"/>
    </row>
    <row r="620">
      <c r="A620" s="13"/>
      <c r="D620" s="56"/>
    </row>
    <row r="621">
      <c r="A621" s="13"/>
      <c r="D621" s="56"/>
    </row>
    <row r="622">
      <c r="A622" s="13"/>
      <c r="D622" s="56"/>
    </row>
    <row r="623">
      <c r="A623" s="13"/>
      <c r="D623" s="56"/>
    </row>
    <row r="624">
      <c r="A624" s="13"/>
      <c r="D624" s="56"/>
    </row>
    <row r="625">
      <c r="A625" s="13"/>
      <c r="D625" s="56"/>
    </row>
    <row r="626">
      <c r="A626" s="13"/>
      <c r="D626" s="56"/>
    </row>
    <row r="627">
      <c r="A627" s="13"/>
      <c r="D627" s="56"/>
    </row>
    <row r="628">
      <c r="A628" s="13"/>
      <c r="D628" s="56"/>
    </row>
    <row r="629">
      <c r="A629" s="13"/>
      <c r="D629" s="56"/>
    </row>
    <row r="630">
      <c r="A630" s="13"/>
      <c r="D630" s="56"/>
    </row>
    <row r="631">
      <c r="A631" s="13"/>
      <c r="D631" s="56"/>
    </row>
    <row r="632">
      <c r="A632" s="13"/>
      <c r="D632" s="56"/>
    </row>
    <row r="633">
      <c r="A633" s="13"/>
      <c r="D633" s="56"/>
    </row>
    <row r="634">
      <c r="A634" s="13"/>
      <c r="D634" s="56"/>
    </row>
    <row r="635">
      <c r="A635" s="13"/>
      <c r="D635" s="56"/>
    </row>
    <row r="636">
      <c r="A636" s="13"/>
      <c r="D636" s="56"/>
    </row>
    <row r="637">
      <c r="A637" s="13"/>
      <c r="D637" s="56"/>
    </row>
    <row r="638">
      <c r="A638" s="13"/>
      <c r="D638" s="56"/>
    </row>
    <row r="639">
      <c r="A639" s="13"/>
      <c r="D639" s="56"/>
    </row>
    <row r="640">
      <c r="A640" s="13"/>
      <c r="D640" s="56"/>
    </row>
    <row r="641">
      <c r="A641" s="13"/>
      <c r="D641" s="56"/>
    </row>
    <row r="642">
      <c r="A642" s="13"/>
      <c r="D642" s="56"/>
    </row>
    <row r="643">
      <c r="A643" s="13"/>
      <c r="D643" s="56"/>
    </row>
    <row r="644">
      <c r="A644" s="13"/>
      <c r="D644" s="56"/>
    </row>
    <row r="645">
      <c r="A645" s="13"/>
      <c r="D645" s="56"/>
    </row>
    <row r="646">
      <c r="A646" s="13"/>
      <c r="D646" s="56"/>
    </row>
    <row r="647">
      <c r="A647" s="13"/>
      <c r="D647" s="56"/>
    </row>
    <row r="648">
      <c r="A648" s="13"/>
      <c r="D648" s="56"/>
    </row>
    <row r="649">
      <c r="A649" s="13"/>
      <c r="D649" s="56"/>
    </row>
    <row r="650">
      <c r="A650" s="13"/>
      <c r="D650" s="56"/>
    </row>
    <row r="651">
      <c r="A651" s="13"/>
      <c r="D651" s="56"/>
    </row>
    <row r="652">
      <c r="A652" s="13"/>
      <c r="D652" s="56"/>
    </row>
    <row r="653">
      <c r="A653" s="13"/>
      <c r="D653" s="56"/>
    </row>
    <row r="654">
      <c r="A654" s="13"/>
      <c r="D654" s="56"/>
    </row>
    <row r="655">
      <c r="A655" s="13"/>
      <c r="D655" s="56"/>
    </row>
    <row r="656">
      <c r="A656" s="13"/>
      <c r="D656" s="56"/>
    </row>
    <row r="657">
      <c r="A657" s="13"/>
      <c r="D657" s="56"/>
    </row>
    <row r="658">
      <c r="A658" s="13"/>
      <c r="D658" s="56"/>
    </row>
    <row r="659">
      <c r="A659" s="13"/>
      <c r="D659" s="56"/>
    </row>
    <row r="660">
      <c r="A660" s="13"/>
      <c r="D660" s="56"/>
    </row>
    <row r="661">
      <c r="A661" s="13"/>
      <c r="D661" s="56"/>
    </row>
    <row r="662">
      <c r="A662" s="13"/>
      <c r="D662" s="56"/>
    </row>
    <row r="663">
      <c r="A663" s="13"/>
      <c r="D663" s="56"/>
    </row>
    <row r="664">
      <c r="A664" s="13"/>
      <c r="D664" s="56"/>
    </row>
    <row r="665">
      <c r="A665" s="13"/>
      <c r="D665" s="56"/>
    </row>
    <row r="666">
      <c r="A666" s="13"/>
      <c r="D666" s="56"/>
    </row>
    <row r="667">
      <c r="A667" s="13"/>
      <c r="D667" s="56"/>
    </row>
    <row r="668">
      <c r="A668" s="13"/>
      <c r="D668" s="56"/>
    </row>
    <row r="669">
      <c r="A669" s="13"/>
      <c r="D669" s="56"/>
    </row>
    <row r="670">
      <c r="A670" s="13"/>
      <c r="D670" s="56"/>
    </row>
    <row r="671">
      <c r="A671" s="13"/>
      <c r="D671" s="56"/>
    </row>
    <row r="672">
      <c r="A672" s="13"/>
      <c r="D672" s="56"/>
    </row>
    <row r="673">
      <c r="A673" s="13"/>
      <c r="D673" s="56"/>
    </row>
    <row r="674">
      <c r="A674" s="13"/>
      <c r="D674" s="56"/>
    </row>
    <row r="675">
      <c r="A675" s="13"/>
      <c r="D675" s="56"/>
    </row>
    <row r="676">
      <c r="A676" s="13"/>
      <c r="D676" s="56"/>
    </row>
    <row r="677">
      <c r="A677" s="13"/>
      <c r="D677" s="56"/>
    </row>
    <row r="678">
      <c r="A678" s="13"/>
      <c r="D678" s="56"/>
    </row>
    <row r="679">
      <c r="A679" s="13"/>
      <c r="D679" s="56"/>
    </row>
    <row r="680">
      <c r="A680" s="13"/>
      <c r="D680" s="56"/>
    </row>
    <row r="681">
      <c r="A681" s="13"/>
      <c r="D681" s="56"/>
    </row>
    <row r="682">
      <c r="A682" s="13"/>
      <c r="D682" s="56"/>
    </row>
    <row r="683">
      <c r="A683" s="13"/>
      <c r="D683" s="56"/>
    </row>
    <row r="684">
      <c r="A684" s="13"/>
      <c r="D684" s="56"/>
    </row>
    <row r="685">
      <c r="A685" s="13"/>
      <c r="D685" s="56"/>
    </row>
    <row r="686">
      <c r="A686" s="13"/>
      <c r="D686" s="56"/>
    </row>
    <row r="687">
      <c r="A687" s="13"/>
      <c r="D687" s="56"/>
    </row>
    <row r="688">
      <c r="A688" s="13"/>
      <c r="D688" s="56"/>
    </row>
    <row r="689">
      <c r="A689" s="13"/>
      <c r="D689" s="56"/>
    </row>
    <row r="690">
      <c r="A690" s="13"/>
      <c r="D690" s="56"/>
    </row>
    <row r="691">
      <c r="A691" s="13"/>
      <c r="D691" s="56"/>
    </row>
    <row r="692">
      <c r="A692" s="13"/>
      <c r="D692" s="56"/>
    </row>
    <row r="693">
      <c r="A693" s="13"/>
      <c r="D693" s="56"/>
    </row>
    <row r="694">
      <c r="A694" s="13"/>
      <c r="D694" s="56"/>
    </row>
    <row r="695">
      <c r="A695" s="13"/>
      <c r="D695" s="56"/>
    </row>
    <row r="696">
      <c r="A696" s="13"/>
      <c r="D696" s="56"/>
    </row>
    <row r="697">
      <c r="A697" s="13"/>
      <c r="D697" s="56"/>
    </row>
    <row r="698">
      <c r="A698" s="13"/>
      <c r="D698" s="56"/>
    </row>
    <row r="699">
      <c r="A699" s="13"/>
      <c r="D699" s="56"/>
    </row>
    <row r="700">
      <c r="A700" s="13"/>
      <c r="D700" s="56"/>
    </row>
    <row r="701">
      <c r="A701" s="13"/>
      <c r="D701" s="56"/>
    </row>
    <row r="702">
      <c r="A702" s="13"/>
      <c r="D702" s="56"/>
    </row>
    <row r="703">
      <c r="A703" s="13"/>
      <c r="D703" s="56"/>
    </row>
    <row r="704">
      <c r="A704" s="13"/>
      <c r="D704" s="56"/>
    </row>
    <row r="705">
      <c r="A705" s="13"/>
      <c r="D705" s="56"/>
    </row>
    <row r="706">
      <c r="A706" s="13"/>
      <c r="D706" s="56"/>
    </row>
    <row r="707">
      <c r="A707" s="13"/>
      <c r="D707" s="56"/>
    </row>
    <row r="708">
      <c r="A708" s="13"/>
      <c r="D708" s="56"/>
    </row>
    <row r="709">
      <c r="A709" s="13"/>
      <c r="D709" s="56"/>
    </row>
    <row r="710">
      <c r="A710" s="13"/>
      <c r="D710" s="56"/>
    </row>
    <row r="711">
      <c r="A711" s="13"/>
      <c r="D711" s="56"/>
    </row>
    <row r="712">
      <c r="A712" s="13"/>
      <c r="D712" s="56"/>
    </row>
    <row r="713">
      <c r="A713" s="13"/>
      <c r="D713" s="56"/>
    </row>
    <row r="714">
      <c r="A714" s="13"/>
      <c r="D714" s="56"/>
    </row>
    <row r="715">
      <c r="A715" s="13"/>
      <c r="D715" s="56"/>
    </row>
    <row r="716">
      <c r="A716" s="13"/>
      <c r="D716" s="56"/>
    </row>
    <row r="717">
      <c r="A717" s="13"/>
      <c r="D717" s="56"/>
    </row>
    <row r="718">
      <c r="A718" s="13"/>
      <c r="D718" s="56"/>
    </row>
    <row r="719">
      <c r="A719" s="13"/>
      <c r="D719" s="56"/>
    </row>
    <row r="720">
      <c r="A720" s="13"/>
      <c r="D720" s="56"/>
    </row>
    <row r="721">
      <c r="A721" s="13"/>
      <c r="D721" s="56"/>
    </row>
    <row r="722">
      <c r="A722" s="13"/>
      <c r="D722" s="56"/>
    </row>
    <row r="723">
      <c r="A723" s="13"/>
      <c r="D723" s="56"/>
    </row>
    <row r="724">
      <c r="A724" s="13"/>
      <c r="D724" s="56"/>
    </row>
    <row r="725">
      <c r="A725" s="13"/>
      <c r="D725" s="56"/>
    </row>
    <row r="726">
      <c r="A726" s="13"/>
      <c r="D726" s="56"/>
    </row>
    <row r="727">
      <c r="A727" s="13"/>
      <c r="D727" s="56"/>
    </row>
    <row r="728">
      <c r="A728" s="13"/>
      <c r="D728" s="56"/>
    </row>
    <row r="729">
      <c r="A729" s="13"/>
      <c r="D729" s="56"/>
    </row>
    <row r="730">
      <c r="A730" s="13"/>
      <c r="D730" s="56"/>
    </row>
    <row r="731">
      <c r="A731" s="13"/>
      <c r="D731" s="56"/>
    </row>
    <row r="732">
      <c r="A732" s="13"/>
      <c r="D732" s="56"/>
    </row>
    <row r="733">
      <c r="A733" s="13"/>
      <c r="D733" s="56"/>
    </row>
    <row r="734">
      <c r="A734" s="13"/>
      <c r="D734" s="56"/>
    </row>
    <row r="735">
      <c r="A735" s="13"/>
      <c r="D735" s="56"/>
    </row>
    <row r="736">
      <c r="A736" s="13"/>
      <c r="D736" s="56"/>
    </row>
    <row r="737">
      <c r="A737" s="13"/>
      <c r="D737" s="56"/>
    </row>
    <row r="738">
      <c r="A738" s="13"/>
      <c r="D738" s="56"/>
    </row>
    <row r="739">
      <c r="A739" s="13"/>
      <c r="D739" s="56"/>
    </row>
    <row r="740">
      <c r="A740" s="13"/>
      <c r="D740" s="56"/>
    </row>
    <row r="741">
      <c r="A741" s="13"/>
      <c r="D741" s="56"/>
    </row>
    <row r="742">
      <c r="A742" s="13"/>
      <c r="D742" s="56"/>
    </row>
    <row r="743">
      <c r="A743" s="13"/>
      <c r="D743" s="56"/>
    </row>
    <row r="744">
      <c r="A744" s="13"/>
      <c r="D744" s="56"/>
    </row>
    <row r="745">
      <c r="A745" s="13"/>
      <c r="D745" s="56"/>
    </row>
    <row r="746">
      <c r="A746" s="13"/>
      <c r="D746" s="56"/>
    </row>
    <row r="747">
      <c r="A747" s="13"/>
      <c r="D747" s="56"/>
    </row>
    <row r="748">
      <c r="A748" s="13"/>
      <c r="D748" s="56"/>
    </row>
    <row r="749">
      <c r="A749" s="13"/>
      <c r="D749" s="56"/>
    </row>
    <row r="750">
      <c r="A750" s="13"/>
      <c r="D750" s="56"/>
    </row>
    <row r="751">
      <c r="A751" s="13"/>
      <c r="D751" s="56"/>
    </row>
    <row r="752">
      <c r="A752" s="13"/>
      <c r="D752" s="56"/>
    </row>
    <row r="753">
      <c r="A753" s="13"/>
      <c r="D753" s="56"/>
    </row>
    <row r="754">
      <c r="A754" s="13"/>
      <c r="D754" s="56"/>
    </row>
    <row r="755">
      <c r="A755" s="13"/>
      <c r="D755" s="56"/>
    </row>
    <row r="756">
      <c r="A756" s="13"/>
      <c r="D756" s="56"/>
    </row>
    <row r="757">
      <c r="A757" s="13"/>
      <c r="D757" s="56"/>
    </row>
    <row r="758">
      <c r="A758" s="13"/>
      <c r="D758" s="56"/>
    </row>
    <row r="759">
      <c r="A759" s="13"/>
      <c r="D759" s="56"/>
    </row>
    <row r="760">
      <c r="A760" s="13"/>
      <c r="D760" s="56"/>
    </row>
    <row r="761">
      <c r="A761" s="13"/>
      <c r="D761" s="56"/>
    </row>
    <row r="762">
      <c r="A762" s="13"/>
      <c r="D762" s="56"/>
    </row>
    <row r="763">
      <c r="A763" s="13"/>
      <c r="D763" s="56"/>
    </row>
    <row r="764">
      <c r="A764" s="13"/>
      <c r="D764" s="56"/>
    </row>
    <row r="765">
      <c r="A765" s="13"/>
      <c r="D765" s="56"/>
    </row>
    <row r="766">
      <c r="A766" s="13"/>
      <c r="D766" s="56"/>
    </row>
    <row r="767">
      <c r="A767" s="13"/>
      <c r="D767" s="56"/>
    </row>
    <row r="768">
      <c r="A768" s="13"/>
      <c r="D768" s="56"/>
    </row>
    <row r="769">
      <c r="A769" s="13"/>
      <c r="D769" s="56"/>
    </row>
    <row r="770">
      <c r="A770" s="13"/>
      <c r="D770" s="56"/>
    </row>
    <row r="771">
      <c r="A771" s="13"/>
      <c r="D771" s="56"/>
    </row>
    <row r="772">
      <c r="A772" s="13"/>
      <c r="D772" s="56"/>
    </row>
    <row r="773">
      <c r="A773" s="13"/>
      <c r="D773" s="56"/>
    </row>
    <row r="774">
      <c r="A774" s="13"/>
      <c r="D774" s="56"/>
    </row>
    <row r="775">
      <c r="A775" s="13"/>
      <c r="D775" s="56"/>
    </row>
    <row r="776">
      <c r="A776" s="13"/>
      <c r="D776" s="56"/>
    </row>
    <row r="777">
      <c r="A777" s="13"/>
      <c r="D777" s="56"/>
    </row>
    <row r="778">
      <c r="A778" s="13"/>
      <c r="D778" s="56"/>
    </row>
    <row r="779">
      <c r="A779" s="13"/>
      <c r="D779" s="56"/>
    </row>
    <row r="780">
      <c r="A780" s="13"/>
      <c r="D780" s="56"/>
    </row>
    <row r="781">
      <c r="A781" s="13"/>
      <c r="D781" s="56"/>
    </row>
    <row r="782">
      <c r="A782" s="13"/>
      <c r="D782" s="56"/>
    </row>
    <row r="783">
      <c r="A783" s="13"/>
      <c r="D783" s="56"/>
    </row>
    <row r="784">
      <c r="A784" s="13"/>
      <c r="D784" s="56"/>
    </row>
    <row r="785">
      <c r="A785" s="13"/>
      <c r="D785" s="56"/>
    </row>
    <row r="786">
      <c r="A786" s="13"/>
      <c r="D786" s="56"/>
    </row>
    <row r="787">
      <c r="A787" s="13"/>
      <c r="D787" s="56"/>
    </row>
    <row r="788">
      <c r="A788" s="13"/>
      <c r="D788" s="56"/>
    </row>
    <row r="789">
      <c r="A789" s="13"/>
      <c r="D789" s="56"/>
    </row>
    <row r="790">
      <c r="A790" s="13"/>
      <c r="D790" s="56"/>
    </row>
    <row r="791">
      <c r="A791" s="13"/>
      <c r="D791" s="56"/>
    </row>
    <row r="792">
      <c r="A792" s="13"/>
      <c r="D792" s="56"/>
    </row>
    <row r="793">
      <c r="A793" s="13"/>
      <c r="D793" s="56"/>
    </row>
    <row r="794">
      <c r="A794" s="13"/>
      <c r="D794" s="56"/>
    </row>
    <row r="795">
      <c r="A795" s="13"/>
      <c r="D795" s="56"/>
    </row>
    <row r="796">
      <c r="A796" s="13"/>
      <c r="D796" s="56"/>
    </row>
    <row r="797">
      <c r="A797" s="13"/>
      <c r="D797" s="56"/>
    </row>
    <row r="798">
      <c r="A798" s="13"/>
      <c r="D798" s="56"/>
    </row>
    <row r="799">
      <c r="A799" s="13"/>
      <c r="D799" s="56"/>
    </row>
    <row r="800">
      <c r="A800" s="13"/>
      <c r="D800" s="56"/>
    </row>
    <row r="801">
      <c r="A801" s="13"/>
      <c r="D801" s="56"/>
    </row>
    <row r="802">
      <c r="A802" s="13"/>
      <c r="D802" s="56"/>
    </row>
    <row r="803">
      <c r="A803" s="13"/>
      <c r="D803" s="56"/>
    </row>
    <row r="804">
      <c r="A804" s="13"/>
      <c r="D804" s="56"/>
    </row>
    <row r="805">
      <c r="A805" s="13"/>
      <c r="D805" s="56"/>
    </row>
    <row r="806">
      <c r="A806" s="13"/>
      <c r="D806" s="56"/>
    </row>
    <row r="807">
      <c r="A807" s="13"/>
      <c r="D807" s="56"/>
    </row>
    <row r="808">
      <c r="A808" s="13"/>
      <c r="D808" s="56"/>
    </row>
    <row r="809">
      <c r="A809" s="13"/>
      <c r="D809" s="56"/>
    </row>
    <row r="810">
      <c r="A810" s="13"/>
      <c r="D810" s="56"/>
    </row>
    <row r="811">
      <c r="A811" s="13"/>
      <c r="D811" s="56"/>
    </row>
    <row r="812">
      <c r="A812" s="13"/>
      <c r="D812" s="56"/>
    </row>
    <row r="813">
      <c r="A813" s="13"/>
      <c r="D813" s="56"/>
    </row>
    <row r="814">
      <c r="A814" s="13"/>
      <c r="D814" s="56"/>
    </row>
    <row r="815">
      <c r="A815" s="13"/>
      <c r="D815" s="56"/>
    </row>
    <row r="816">
      <c r="A816" s="13"/>
      <c r="D816" s="56"/>
    </row>
    <row r="817">
      <c r="A817" s="13"/>
      <c r="D817" s="56"/>
    </row>
    <row r="818">
      <c r="A818" s="13"/>
      <c r="D818" s="56"/>
    </row>
    <row r="819">
      <c r="A819" s="13"/>
      <c r="D819" s="56"/>
    </row>
    <row r="820">
      <c r="A820" s="13"/>
      <c r="D820" s="56"/>
    </row>
    <row r="821">
      <c r="A821" s="13"/>
      <c r="D821" s="56"/>
    </row>
    <row r="822">
      <c r="A822" s="13"/>
      <c r="D822" s="56"/>
    </row>
    <row r="823">
      <c r="A823" s="13"/>
      <c r="D823" s="56"/>
    </row>
    <row r="824">
      <c r="A824" s="13"/>
      <c r="D824" s="56"/>
    </row>
    <row r="825">
      <c r="A825" s="13"/>
      <c r="D825" s="56"/>
    </row>
    <row r="826">
      <c r="A826" s="13"/>
      <c r="D826" s="56"/>
    </row>
    <row r="827">
      <c r="A827" s="13"/>
      <c r="D827" s="56"/>
    </row>
    <row r="828">
      <c r="A828" s="13"/>
      <c r="D828" s="56"/>
    </row>
    <row r="829">
      <c r="A829" s="13"/>
      <c r="D829" s="56"/>
    </row>
    <row r="830">
      <c r="A830" s="13"/>
      <c r="D830" s="56"/>
    </row>
    <row r="831">
      <c r="A831" s="13"/>
      <c r="D831" s="56"/>
    </row>
    <row r="832">
      <c r="A832" s="13"/>
      <c r="D832" s="56"/>
    </row>
    <row r="833">
      <c r="A833" s="13"/>
      <c r="D833" s="56"/>
    </row>
    <row r="834">
      <c r="A834" s="13"/>
      <c r="D834" s="56"/>
    </row>
    <row r="835">
      <c r="A835" s="13"/>
      <c r="D835" s="56"/>
    </row>
    <row r="836">
      <c r="A836" s="13"/>
      <c r="D836" s="56"/>
    </row>
    <row r="837">
      <c r="A837" s="13"/>
      <c r="D837" s="56"/>
    </row>
    <row r="838">
      <c r="A838" s="13"/>
      <c r="D838" s="56"/>
    </row>
    <row r="839">
      <c r="A839" s="13"/>
      <c r="D839" s="56"/>
    </row>
    <row r="840">
      <c r="A840" s="13"/>
      <c r="D840" s="56"/>
    </row>
    <row r="841">
      <c r="A841" s="13"/>
      <c r="D841" s="56"/>
    </row>
    <row r="842">
      <c r="A842" s="13"/>
      <c r="D842" s="56"/>
    </row>
    <row r="843">
      <c r="A843" s="13"/>
      <c r="D843" s="56"/>
    </row>
    <row r="844">
      <c r="A844" s="13"/>
      <c r="D844" s="56"/>
    </row>
    <row r="845">
      <c r="A845" s="13"/>
      <c r="D845" s="56"/>
    </row>
    <row r="846">
      <c r="A846" s="13"/>
      <c r="D846" s="56"/>
    </row>
    <row r="847">
      <c r="A847" s="13"/>
      <c r="D847" s="56"/>
    </row>
    <row r="848">
      <c r="A848" s="13"/>
      <c r="D848" s="56"/>
    </row>
    <row r="849">
      <c r="A849" s="13"/>
      <c r="D849" s="56"/>
    </row>
    <row r="850">
      <c r="A850" s="13"/>
      <c r="D850" s="56"/>
    </row>
    <row r="851">
      <c r="A851" s="13"/>
      <c r="D851" s="56"/>
    </row>
    <row r="852">
      <c r="A852" s="13"/>
      <c r="D852" s="56"/>
    </row>
    <row r="853">
      <c r="A853" s="13"/>
      <c r="D853" s="56"/>
    </row>
    <row r="854">
      <c r="A854" s="13"/>
      <c r="D854" s="56"/>
    </row>
    <row r="855">
      <c r="A855" s="13"/>
      <c r="D855" s="56"/>
    </row>
    <row r="856">
      <c r="A856" s="13"/>
      <c r="D856" s="56"/>
    </row>
    <row r="857">
      <c r="A857" s="13"/>
      <c r="D857" s="56"/>
    </row>
    <row r="858">
      <c r="A858" s="13"/>
      <c r="D858" s="56"/>
    </row>
    <row r="859">
      <c r="A859" s="13"/>
      <c r="D859" s="56"/>
    </row>
    <row r="860">
      <c r="A860" s="13"/>
      <c r="D860" s="56"/>
    </row>
    <row r="861">
      <c r="A861" s="13"/>
      <c r="D861" s="56"/>
    </row>
    <row r="862">
      <c r="A862" s="13"/>
      <c r="D862" s="56"/>
    </row>
    <row r="863">
      <c r="A863" s="13"/>
      <c r="D863" s="56"/>
    </row>
    <row r="864">
      <c r="A864" s="13"/>
      <c r="D864" s="56"/>
    </row>
    <row r="865">
      <c r="A865" s="13"/>
      <c r="D865" s="56"/>
    </row>
    <row r="866">
      <c r="A866" s="13"/>
      <c r="D866" s="56"/>
    </row>
    <row r="867">
      <c r="A867" s="13"/>
      <c r="D867" s="56"/>
    </row>
    <row r="868">
      <c r="A868" s="13"/>
      <c r="D868" s="56"/>
    </row>
    <row r="869">
      <c r="A869" s="13"/>
      <c r="D869" s="56"/>
    </row>
    <row r="870">
      <c r="A870" s="13"/>
      <c r="D870" s="56"/>
    </row>
    <row r="871">
      <c r="A871" s="13"/>
      <c r="D871" s="56"/>
    </row>
    <row r="872">
      <c r="A872" s="13"/>
      <c r="D872" s="56"/>
    </row>
    <row r="873">
      <c r="A873" s="13"/>
      <c r="D873" s="56"/>
    </row>
    <row r="874">
      <c r="A874" s="13"/>
      <c r="D874" s="56"/>
    </row>
    <row r="875">
      <c r="A875" s="13"/>
      <c r="D875" s="56"/>
    </row>
    <row r="876">
      <c r="A876" s="13"/>
      <c r="D876" s="56"/>
    </row>
    <row r="877">
      <c r="A877" s="13"/>
      <c r="D877" s="56"/>
    </row>
    <row r="878">
      <c r="A878" s="13"/>
      <c r="D878" s="56"/>
    </row>
    <row r="879">
      <c r="A879" s="13"/>
      <c r="D879" s="56"/>
    </row>
    <row r="880">
      <c r="A880" s="13"/>
      <c r="D880" s="56"/>
    </row>
    <row r="881">
      <c r="A881" s="13"/>
      <c r="D881" s="56"/>
    </row>
    <row r="882">
      <c r="A882" s="13"/>
      <c r="D882" s="56"/>
    </row>
    <row r="883">
      <c r="A883" s="13"/>
      <c r="D883" s="56"/>
    </row>
    <row r="884">
      <c r="A884" s="13"/>
      <c r="D884" s="56"/>
    </row>
    <row r="885">
      <c r="A885" s="13"/>
      <c r="D885" s="56"/>
    </row>
    <row r="886">
      <c r="A886" s="13"/>
      <c r="D886" s="56"/>
    </row>
    <row r="887">
      <c r="A887" s="13"/>
      <c r="D887" s="56"/>
    </row>
    <row r="888">
      <c r="A888" s="13"/>
      <c r="D888" s="56"/>
    </row>
    <row r="889">
      <c r="A889" s="13"/>
      <c r="D889" s="56"/>
    </row>
    <row r="890">
      <c r="A890" s="13"/>
      <c r="D890" s="56"/>
    </row>
    <row r="891">
      <c r="A891" s="13"/>
      <c r="D891" s="56"/>
    </row>
    <row r="892">
      <c r="A892" s="13"/>
      <c r="D892" s="56"/>
    </row>
    <row r="893">
      <c r="A893" s="13"/>
      <c r="D893" s="56"/>
    </row>
    <row r="894">
      <c r="A894" s="13"/>
      <c r="D894" s="56"/>
    </row>
    <row r="895">
      <c r="A895" s="13"/>
      <c r="D895" s="56"/>
    </row>
    <row r="896">
      <c r="A896" s="13"/>
      <c r="D896" s="56"/>
    </row>
    <row r="897">
      <c r="A897" s="13"/>
      <c r="D897" s="56"/>
    </row>
    <row r="898">
      <c r="A898" s="13"/>
      <c r="D898" s="56"/>
    </row>
    <row r="899">
      <c r="A899" s="13"/>
      <c r="D899" s="56"/>
    </row>
    <row r="900">
      <c r="A900" s="13"/>
      <c r="D900" s="56"/>
    </row>
    <row r="901">
      <c r="A901" s="13"/>
      <c r="D901" s="56"/>
    </row>
    <row r="902">
      <c r="A902" s="13"/>
      <c r="D902" s="56"/>
    </row>
    <row r="903">
      <c r="A903" s="13"/>
      <c r="D903" s="56"/>
    </row>
    <row r="904">
      <c r="A904" s="13"/>
      <c r="D904" s="56"/>
    </row>
    <row r="905">
      <c r="A905" s="13"/>
      <c r="D905" s="56"/>
    </row>
    <row r="906">
      <c r="A906" s="13"/>
      <c r="D906" s="56"/>
    </row>
    <row r="907">
      <c r="A907" s="13"/>
      <c r="D907" s="56"/>
    </row>
    <row r="908">
      <c r="A908" s="13"/>
      <c r="D908" s="56"/>
    </row>
    <row r="909">
      <c r="A909" s="13"/>
      <c r="D909" s="56"/>
    </row>
    <row r="910">
      <c r="A910" s="13"/>
      <c r="D910" s="56"/>
    </row>
    <row r="911">
      <c r="A911" s="13"/>
      <c r="D911" s="56"/>
    </row>
    <row r="912">
      <c r="A912" s="13"/>
      <c r="D912" s="56"/>
    </row>
    <row r="913">
      <c r="A913" s="13"/>
      <c r="D913" s="56"/>
    </row>
    <row r="914">
      <c r="A914" s="13"/>
      <c r="D914" s="56"/>
    </row>
    <row r="915">
      <c r="A915" s="13"/>
      <c r="D915" s="56"/>
    </row>
    <row r="916">
      <c r="A916" s="13"/>
      <c r="D916" s="56"/>
    </row>
    <row r="917">
      <c r="A917" s="13"/>
      <c r="D917" s="56"/>
    </row>
    <row r="918">
      <c r="A918" s="13"/>
      <c r="D918" s="56"/>
    </row>
    <row r="919">
      <c r="A919" s="13"/>
      <c r="D919" s="56"/>
    </row>
    <row r="920">
      <c r="A920" s="13"/>
      <c r="D920" s="56"/>
    </row>
    <row r="921">
      <c r="A921" s="13"/>
      <c r="D921" s="56"/>
    </row>
    <row r="922">
      <c r="A922" s="13"/>
      <c r="D922" s="56"/>
    </row>
    <row r="923">
      <c r="A923" s="13"/>
      <c r="D923" s="56"/>
    </row>
    <row r="924">
      <c r="A924" s="13"/>
      <c r="D924" s="56"/>
    </row>
    <row r="925">
      <c r="A925" s="13"/>
      <c r="D925" s="56"/>
    </row>
    <row r="926">
      <c r="A926" s="13"/>
      <c r="D926" s="56"/>
    </row>
    <row r="927">
      <c r="A927" s="13"/>
      <c r="D927" s="56"/>
    </row>
    <row r="928">
      <c r="A928" s="13"/>
      <c r="D928" s="56"/>
    </row>
    <row r="929">
      <c r="A929" s="13"/>
      <c r="D929" s="56"/>
    </row>
    <row r="930">
      <c r="A930" s="13"/>
      <c r="D930" s="56"/>
    </row>
    <row r="931">
      <c r="A931" s="13"/>
      <c r="D931" s="56"/>
    </row>
    <row r="932">
      <c r="A932" s="13"/>
      <c r="D932" s="56"/>
    </row>
    <row r="933">
      <c r="A933" s="13"/>
      <c r="D933" s="56"/>
    </row>
    <row r="934">
      <c r="A934" s="13"/>
      <c r="D934" s="56"/>
    </row>
    <row r="935">
      <c r="A935" s="13"/>
      <c r="D935" s="56"/>
    </row>
    <row r="936">
      <c r="A936" s="13"/>
      <c r="D936" s="56"/>
    </row>
    <row r="937">
      <c r="A937" s="13"/>
      <c r="D937" s="56"/>
    </row>
    <row r="938">
      <c r="A938" s="13"/>
      <c r="D938" s="56"/>
    </row>
    <row r="939">
      <c r="A939" s="13"/>
      <c r="D939" s="56"/>
    </row>
    <row r="940">
      <c r="A940" s="13"/>
      <c r="D940" s="56"/>
    </row>
    <row r="941">
      <c r="A941" s="13"/>
      <c r="D941" s="56"/>
    </row>
    <row r="942">
      <c r="A942" s="13"/>
      <c r="D942" s="56"/>
    </row>
    <row r="943">
      <c r="A943" s="13"/>
      <c r="D943" s="56"/>
    </row>
    <row r="944">
      <c r="A944" s="13"/>
      <c r="D944" s="56"/>
    </row>
    <row r="945">
      <c r="A945" s="13"/>
      <c r="D945" s="56"/>
    </row>
    <row r="946">
      <c r="A946" s="13"/>
      <c r="D946" s="56"/>
    </row>
    <row r="947">
      <c r="A947" s="13"/>
      <c r="D947" s="56"/>
    </row>
    <row r="948">
      <c r="A948" s="13"/>
      <c r="D948" s="56"/>
    </row>
    <row r="949">
      <c r="A949" s="13"/>
      <c r="D949" s="56"/>
    </row>
    <row r="950">
      <c r="A950" s="13"/>
      <c r="D950" s="56"/>
    </row>
    <row r="951">
      <c r="A951" s="13"/>
      <c r="D951" s="56"/>
    </row>
    <row r="952">
      <c r="A952" s="13"/>
      <c r="D952" s="56"/>
    </row>
    <row r="953">
      <c r="A953" s="13"/>
      <c r="D953" s="56"/>
    </row>
    <row r="954">
      <c r="A954" s="13"/>
      <c r="D954" s="56"/>
    </row>
    <row r="955">
      <c r="A955" s="13"/>
      <c r="D955" s="56"/>
    </row>
    <row r="956">
      <c r="A956" s="13"/>
      <c r="D956" s="56"/>
    </row>
    <row r="957">
      <c r="A957" s="13"/>
      <c r="D957" s="56"/>
    </row>
    <row r="958">
      <c r="A958" s="13"/>
      <c r="D958" s="56"/>
    </row>
    <row r="959">
      <c r="A959" s="13"/>
      <c r="D959" s="56"/>
    </row>
    <row r="960">
      <c r="A960" s="13"/>
      <c r="D960" s="56"/>
    </row>
    <row r="961">
      <c r="A961" s="13"/>
      <c r="D961" s="56"/>
    </row>
    <row r="962">
      <c r="A962" s="13"/>
      <c r="D962" s="56"/>
    </row>
    <row r="963">
      <c r="A963" s="13"/>
      <c r="D963" s="56"/>
    </row>
    <row r="964">
      <c r="A964" s="13"/>
      <c r="D964" s="56"/>
    </row>
    <row r="965">
      <c r="A965" s="13"/>
      <c r="D965" s="56"/>
    </row>
    <row r="966">
      <c r="A966" s="13"/>
      <c r="D966" s="56"/>
    </row>
    <row r="967">
      <c r="A967" s="13"/>
      <c r="D967" s="56"/>
    </row>
    <row r="968">
      <c r="A968" s="13"/>
      <c r="D968" s="56"/>
    </row>
    <row r="969">
      <c r="A969" s="13"/>
      <c r="D969" s="56"/>
    </row>
    <row r="970">
      <c r="A970" s="13"/>
      <c r="D970" s="56"/>
    </row>
    <row r="971">
      <c r="A971" s="13"/>
      <c r="D971" s="56"/>
    </row>
    <row r="972">
      <c r="A972" s="13"/>
      <c r="D972" s="56"/>
    </row>
    <row r="973">
      <c r="A973" s="13"/>
      <c r="D973" s="56"/>
    </row>
    <row r="974">
      <c r="A974" s="13"/>
      <c r="D974" s="56"/>
    </row>
    <row r="975">
      <c r="A975" s="13"/>
      <c r="D975" s="56"/>
    </row>
    <row r="976">
      <c r="A976" s="13"/>
      <c r="D976" s="56"/>
    </row>
    <row r="977">
      <c r="A977" s="13"/>
      <c r="D977" s="56"/>
    </row>
    <row r="978">
      <c r="A978" s="13"/>
      <c r="D978" s="56"/>
    </row>
    <row r="979">
      <c r="A979" s="13"/>
      <c r="D979" s="56"/>
    </row>
    <row r="980">
      <c r="A980" s="13"/>
      <c r="D980" s="56"/>
    </row>
    <row r="981">
      <c r="A981" s="13"/>
      <c r="D981" s="56"/>
    </row>
    <row r="982">
      <c r="A982" s="13"/>
      <c r="D982" s="56"/>
    </row>
    <row r="983">
      <c r="A983" s="13"/>
      <c r="D983" s="56"/>
    </row>
    <row r="984">
      <c r="A984" s="13"/>
      <c r="D984" s="56"/>
    </row>
    <row r="985">
      <c r="A985" s="13"/>
      <c r="D985" s="56"/>
    </row>
    <row r="986">
      <c r="A986" s="13"/>
      <c r="D986" s="56"/>
    </row>
    <row r="987">
      <c r="A987" s="13"/>
      <c r="D987" s="56"/>
    </row>
    <row r="988">
      <c r="A988" s="13"/>
      <c r="D988" s="56"/>
    </row>
    <row r="989">
      <c r="A989" s="13"/>
      <c r="D989" s="56"/>
    </row>
    <row r="990">
      <c r="A990" s="13"/>
      <c r="D990" s="56"/>
    </row>
    <row r="991">
      <c r="A991" s="13"/>
      <c r="D991" s="56"/>
    </row>
    <row r="992">
      <c r="A992" s="13"/>
      <c r="D992" s="56"/>
    </row>
    <row r="993">
      <c r="A993" s="13"/>
      <c r="D993" s="56"/>
    </row>
    <row r="994">
      <c r="A994" s="13"/>
      <c r="D994" s="56"/>
    </row>
    <row r="995">
      <c r="A995" s="13"/>
      <c r="D995" s="56"/>
    </row>
    <row r="996">
      <c r="A996" s="13"/>
      <c r="D996" s="56"/>
    </row>
    <row r="997">
      <c r="A997" s="13"/>
      <c r="D997" s="56"/>
    </row>
    <row r="998">
      <c r="A998" s="13"/>
      <c r="D998" s="56"/>
    </row>
    <row r="999">
      <c r="A999" s="13"/>
      <c r="D999" s="56"/>
    </row>
    <row r="1000">
      <c r="A1000" s="13"/>
      <c r="D1000" s="5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</cols>
  <sheetData>
    <row r="1">
      <c r="A1" s="1" t="s">
        <v>248</v>
      </c>
      <c r="B1" s="1" t="s">
        <v>669</v>
      </c>
      <c r="C1" s="57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>
      <c r="A2" s="1" t="s">
        <v>670</v>
      </c>
      <c r="B2" s="1">
        <v>37.5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>
      <c r="A3" s="1" t="s">
        <v>671</v>
      </c>
      <c r="B3" s="1">
        <v>35.4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1" t="s">
        <v>672</v>
      </c>
      <c r="B4" s="1">
        <v>35.0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>
      <c r="A5" s="1" t="s">
        <v>33</v>
      </c>
      <c r="B5" s="1">
        <v>33.1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>
      <c r="A6" s="1" t="s">
        <v>23</v>
      </c>
      <c r="B6" s="1">
        <v>32.8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>
      <c r="A7" s="1" t="s">
        <v>34</v>
      </c>
      <c r="B7" s="1">
        <v>32.7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1" t="s">
        <v>17</v>
      </c>
      <c r="B8" s="1">
        <v>32.3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1" t="s">
        <v>673</v>
      </c>
      <c r="B9" s="1">
        <v>31.9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1" t="s">
        <v>37</v>
      </c>
      <c r="B10" s="1">
        <v>31.9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>
      <c r="A11" s="1" t="s">
        <v>155</v>
      </c>
      <c r="B11" s="1">
        <v>31.6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1" t="s">
        <v>674</v>
      </c>
      <c r="B12" s="1">
        <v>30.8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1" t="s">
        <v>675</v>
      </c>
      <c r="B13" s="1">
        <v>30.8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1" t="s">
        <v>29</v>
      </c>
      <c r="B14" s="1">
        <v>30.7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1" t="s">
        <v>676</v>
      </c>
      <c r="B15" s="1">
        <v>30.4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1" t="s">
        <v>677</v>
      </c>
      <c r="B16" s="1">
        <v>30.1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1" t="s">
        <v>678</v>
      </c>
      <c r="B17" s="1">
        <v>30.0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1" t="s">
        <v>679</v>
      </c>
      <c r="B18" s="1">
        <v>29.6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1" t="s">
        <v>13</v>
      </c>
      <c r="B19" s="1">
        <v>29.6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1" t="s">
        <v>680</v>
      </c>
      <c r="B20" s="1">
        <v>29.5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1" t="s">
        <v>681</v>
      </c>
      <c r="B21" s="1">
        <v>29.3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>
      <c r="A22" s="1" t="s">
        <v>682</v>
      </c>
      <c r="B22" s="1">
        <v>29.2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>
      <c r="A23" s="1" t="s">
        <v>683</v>
      </c>
      <c r="B23" s="1">
        <v>29.0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1" t="s">
        <v>684</v>
      </c>
      <c r="B24" s="1">
        <v>29.0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>
      <c r="A25" s="1" t="s">
        <v>153</v>
      </c>
      <c r="B25" s="1">
        <v>28.9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1" t="s">
        <v>685</v>
      </c>
      <c r="B26" s="1">
        <v>28.8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1" t="s">
        <v>26</v>
      </c>
      <c r="B27" s="1">
        <v>28.7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1" t="s">
        <v>686</v>
      </c>
      <c r="B28" s="1">
        <v>28.7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1" t="s">
        <v>687</v>
      </c>
      <c r="B29" s="1">
        <v>28.6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1" t="s">
        <v>688</v>
      </c>
      <c r="B30" s="1">
        <v>28.6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1" t="s">
        <v>689</v>
      </c>
      <c r="B31" s="1">
        <v>28.4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1" t="s">
        <v>690</v>
      </c>
      <c r="B32" s="1">
        <v>28.3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>
      <c r="A33" s="1" t="s">
        <v>691</v>
      </c>
      <c r="B33" s="1">
        <v>28.2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>
      <c r="A34" s="1" t="s">
        <v>53</v>
      </c>
      <c r="B34" s="1">
        <v>28.2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>
      <c r="A35" s="1" t="s">
        <v>56</v>
      </c>
      <c r="B35" s="1">
        <v>28.2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1" t="s">
        <v>54</v>
      </c>
      <c r="B36" s="1">
        <v>27.9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>
      <c r="A37" s="1" t="s">
        <v>692</v>
      </c>
      <c r="B37" s="1">
        <v>27.8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1" t="s">
        <v>35</v>
      </c>
      <c r="B38" s="1">
        <v>27.8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>
      <c r="A39" s="1" t="s">
        <v>693</v>
      </c>
      <c r="B39" s="1">
        <v>27.4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1" t="s">
        <v>694</v>
      </c>
      <c r="B40" s="1">
        <v>27.4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>
      <c r="A41" s="1" t="s">
        <v>86</v>
      </c>
      <c r="B41" s="1">
        <v>26.9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1" t="s">
        <v>60</v>
      </c>
      <c r="B42" s="1">
        <v>26.9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>
      <c r="A43" s="1" t="s">
        <v>50</v>
      </c>
      <c r="B43" s="1">
        <v>26.5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>
      <c r="A44" s="1" t="s">
        <v>695</v>
      </c>
      <c r="B44" s="1">
        <v>26.5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>
      <c r="A45" s="1" t="s">
        <v>696</v>
      </c>
      <c r="B45" s="1">
        <v>26.3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1" t="s">
        <v>697</v>
      </c>
      <c r="B46" s="1">
        <v>26.1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>
      <c r="A47" s="1" t="s">
        <v>698</v>
      </c>
      <c r="B47" s="1">
        <v>26.1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1" t="s">
        <v>699</v>
      </c>
      <c r="B48" s="1">
        <v>26.0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1" t="s">
        <v>45</v>
      </c>
      <c r="B49" s="1">
        <v>25.7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1" t="s">
        <v>36</v>
      </c>
      <c r="B50" s="1">
        <v>25.5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>
      <c r="A51" s="1" t="s">
        <v>700</v>
      </c>
      <c r="B51" s="1">
        <v>25.3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1" t="s">
        <v>41</v>
      </c>
      <c r="B52" s="1">
        <v>25.3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>
      <c r="A53" s="1" t="s">
        <v>701</v>
      </c>
      <c r="B53" s="1">
        <v>25.3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1" t="s">
        <v>95</v>
      </c>
      <c r="B54" s="1">
        <v>25.2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1" t="s">
        <v>702</v>
      </c>
      <c r="B55" s="1">
        <v>25.1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1" t="s">
        <v>211</v>
      </c>
      <c r="B56" s="1">
        <v>25.0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1" t="s">
        <v>703</v>
      </c>
      <c r="B57" s="1">
        <v>25.0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1" t="s">
        <v>704</v>
      </c>
      <c r="B58" s="1">
        <v>25.0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>
      <c r="A59" s="1" t="s">
        <v>705</v>
      </c>
      <c r="B59" s="1">
        <v>24.9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1" t="s">
        <v>706</v>
      </c>
      <c r="B60" s="1">
        <v>24.8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1" t="s">
        <v>212</v>
      </c>
      <c r="B61" s="1">
        <v>24.7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1" t="s">
        <v>73</v>
      </c>
      <c r="B62" s="1">
        <v>24.7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>
      <c r="A63" s="1" t="s">
        <v>125</v>
      </c>
      <c r="B63" s="1">
        <v>24.6</v>
      </c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1" t="s">
        <v>57</v>
      </c>
      <c r="B64" s="1">
        <v>24.6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1" t="s">
        <v>39</v>
      </c>
      <c r="B65" s="1">
        <v>24.6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1" t="s">
        <v>707</v>
      </c>
      <c r="B66" s="1">
        <v>24.5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1" t="s">
        <v>135</v>
      </c>
      <c r="B67" s="1">
        <v>24.5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1" t="s">
        <v>708</v>
      </c>
      <c r="B68" s="1">
        <v>24.4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>
      <c r="A69" s="1" t="s">
        <v>709</v>
      </c>
      <c r="B69" s="1">
        <v>24.4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1" t="s">
        <v>710</v>
      </c>
      <c r="B70" s="1">
        <v>24.1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>
      <c r="A71" s="1" t="s">
        <v>123</v>
      </c>
      <c r="B71" s="1">
        <v>24.0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1" t="s">
        <v>20</v>
      </c>
      <c r="B72" s="1">
        <v>24.0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>
      <c r="A73" s="1" t="s">
        <v>711</v>
      </c>
      <c r="B73" s="1">
        <v>23.9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1" t="s">
        <v>712</v>
      </c>
      <c r="B74" s="1">
        <v>23.9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>
      <c r="A75" s="1" t="s">
        <v>713</v>
      </c>
      <c r="B75" s="1">
        <v>23.7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1" t="s">
        <v>714</v>
      </c>
      <c r="B76" s="1">
        <v>23.6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>
      <c r="A77" s="1" t="s">
        <v>715</v>
      </c>
      <c r="B77" s="1">
        <v>23.5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1" t="s">
        <v>716</v>
      </c>
      <c r="B78" s="1">
        <v>23.5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>
      <c r="A79" s="1" t="s">
        <v>717</v>
      </c>
      <c r="B79" s="1">
        <v>23.5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1" t="s">
        <v>718</v>
      </c>
      <c r="B80" s="1">
        <v>23.5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>
      <c r="A81" s="1" t="s">
        <v>719</v>
      </c>
      <c r="B81" s="1">
        <v>23.5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1" t="s">
        <v>128</v>
      </c>
      <c r="B82" s="1">
        <v>23.4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>
      <c r="A83" s="1" t="s">
        <v>55</v>
      </c>
      <c r="B83" s="1">
        <v>23.2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1" t="s">
        <v>199</v>
      </c>
      <c r="B84" s="1">
        <v>23.2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>
      <c r="A85" s="1" t="s">
        <v>98</v>
      </c>
      <c r="B85" s="1">
        <v>23.2</v>
      </c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1" t="s">
        <v>720</v>
      </c>
      <c r="B86" s="1">
        <v>23.2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>
      <c r="A87" s="1" t="s">
        <v>721</v>
      </c>
      <c r="B87" s="1">
        <v>23.2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1" t="s">
        <v>221</v>
      </c>
      <c r="B88" s="1">
        <v>23.1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>
      <c r="A89" s="1" t="s">
        <v>722</v>
      </c>
      <c r="B89" s="1">
        <v>23.0</v>
      </c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1" t="s">
        <v>723</v>
      </c>
      <c r="B90" s="1">
        <v>23.0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>
      <c r="A91" s="1" t="s">
        <v>724</v>
      </c>
      <c r="B91" s="1">
        <v>23.0</v>
      </c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1" t="s">
        <v>725</v>
      </c>
      <c r="B92" s="1">
        <v>22.9</v>
      </c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>
      <c r="A93" s="1" t="s">
        <v>726</v>
      </c>
      <c r="B93" s="1">
        <v>22.9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1" t="s">
        <v>92</v>
      </c>
      <c r="B94" s="1">
        <v>22.9</v>
      </c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>
      <c r="A95" s="1" t="s">
        <v>103</v>
      </c>
      <c r="B95" s="1">
        <v>22.9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1" t="s">
        <v>727</v>
      </c>
      <c r="B96" s="1">
        <v>22.8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>
      <c r="A97" s="1" t="s">
        <v>728</v>
      </c>
      <c r="B97" s="1">
        <v>22.8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1" t="s">
        <v>59</v>
      </c>
      <c r="B98" s="1">
        <v>22.8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>
      <c r="A99" s="1" t="s">
        <v>729</v>
      </c>
      <c r="B99" s="1">
        <v>22.7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1" t="s">
        <v>730</v>
      </c>
      <c r="B100" s="1">
        <v>22.7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>
      <c r="A101" s="1" t="s">
        <v>731</v>
      </c>
      <c r="B101" s="1">
        <v>22.6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1" t="s">
        <v>732</v>
      </c>
      <c r="B102" s="1">
        <v>22.4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>
      <c r="A103" s="1" t="s">
        <v>52</v>
      </c>
      <c r="B103" s="1">
        <v>22.4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1" t="s">
        <v>85</v>
      </c>
      <c r="B104" s="1">
        <v>22.4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>
      <c r="A105" s="1" t="s">
        <v>733</v>
      </c>
      <c r="B105" s="1">
        <v>22.4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1" t="s">
        <v>64</v>
      </c>
      <c r="B106" s="1">
        <v>22.3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>
      <c r="A107" s="1" t="s">
        <v>62</v>
      </c>
      <c r="B107" s="1">
        <v>22.3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1" t="s">
        <v>194</v>
      </c>
      <c r="B108" s="1">
        <v>22.2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>
      <c r="A109" s="1" t="s">
        <v>734</v>
      </c>
      <c r="B109" s="1">
        <v>22.2</v>
      </c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1" t="s">
        <v>735</v>
      </c>
      <c r="B110" s="1">
        <v>22.1</v>
      </c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>
      <c r="A111" s="1" t="s">
        <v>72</v>
      </c>
      <c r="B111" s="1">
        <v>22.1</v>
      </c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1" t="s">
        <v>736</v>
      </c>
      <c r="B112" s="1">
        <v>22.1</v>
      </c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>
      <c r="A113" s="1" t="s">
        <v>737</v>
      </c>
      <c r="B113" s="1">
        <v>21.9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1" t="s">
        <v>738</v>
      </c>
      <c r="B114" s="1">
        <v>21.9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>
      <c r="A115" s="1" t="s">
        <v>739</v>
      </c>
      <c r="B115" s="1">
        <v>21.9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1" t="s">
        <v>44</v>
      </c>
      <c r="B116" s="1">
        <v>21.8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>
      <c r="A117" s="1" t="s">
        <v>40</v>
      </c>
      <c r="B117" s="1">
        <v>21.8</v>
      </c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1" t="s">
        <v>740</v>
      </c>
      <c r="B118" s="1">
        <v>21.8</v>
      </c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>
      <c r="A119" s="1" t="s">
        <v>741</v>
      </c>
      <c r="B119" s="1">
        <v>21.8</v>
      </c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1" t="s">
        <v>742</v>
      </c>
      <c r="B120" s="1">
        <v>21.7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>
      <c r="A121" s="1" t="s">
        <v>743</v>
      </c>
      <c r="B121" s="1">
        <v>21.7</v>
      </c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1" t="s">
        <v>744</v>
      </c>
      <c r="B122" s="1">
        <v>21.7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>
      <c r="A123" s="1" t="s">
        <v>745</v>
      </c>
      <c r="B123" s="1">
        <v>21.7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1" t="s">
        <v>746</v>
      </c>
      <c r="B124" s="1">
        <v>21.7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>
      <c r="A125" s="1" t="s">
        <v>67</v>
      </c>
      <c r="B125" s="1">
        <v>21.5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1" t="s">
        <v>66</v>
      </c>
      <c r="B126" s="1">
        <v>21.5</v>
      </c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>
      <c r="A127" s="1" t="s">
        <v>65</v>
      </c>
      <c r="B127" s="1">
        <v>21.4</v>
      </c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1" t="s">
        <v>747</v>
      </c>
      <c r="B128" s="1">
        <v>21.4</v>
      </c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>
      <c r="A129" s="1" t="s">
        <v>51</v>
      </c>
      <c r="B129" s="1">
        <v>21.4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1" t="s">
        <v>147</v>
      </c>
      <c r="B130" s="1">
        <v>21.3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>
      <c r="A131" s="1" t="s">
        <v>748</v>
      </c>
      <c r="B131" s="1">
        <v>21.3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1" t="s">
        <v>749</v>
      </c>
      <c r="B132" s="1">
        <v>21.2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>
      <c r="A133" s="1" t="s">
        <v>58</v>
      </c>
      <c r="B133" s="1">
        <v>21.2</v>
      </c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1" t="s">
        <v>750</v>
      </c>
      <c r="B134" s="1">
        <v>21.0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>
      <c r="A135" s="1" t="s">
        <v>751</v>
      </c>
      <c r="B135" s="1">
        <v>21.0</v>
      </c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1" t="s">
        <v>179</v>
      </c>
      <c r="B136" s="1">
        <v>21.0</v>
      </c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>
      <c r="A137" s="1" t="s">
        <v>162</v>
      </c>
      <c r="B137" s="1">
        <v>21.0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1" t="s">
        <v>752</v>
      </c>
      <c r="B138" s="1">
        <v>20.9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>
      <c r="A139" s="1" t="s">
        <v>753</v>
      </c>
      <c r="B139" s="1">
        <v>20.8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1" t="s">
        <v>754</v>
      </c>
      <c r="B140" s="1">
        <v>20.8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>
      <c r="A141" s="1" t="s">
        <v>75</v>
      </c>
      <c r="B141" s="1">
        <v>20.8</v>
      </c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1" t="s">
        <v>755</v>
      </c>
      <c r="B142" s="1">
        <v>20.7</v>
      </c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>
      <c r="A143" s="1" t="s">
        <v>756</v>
      </c>
      <c r="B143" s="1">
        <v>20.7</v>
      </c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1" t="s">
        <v>757</v>
      </c>
      <c r="B144" s="1">
        <v>20.6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>
      <c r="A145" s="1" t="s">
        <v>758</v>
      </c>
      <c r="B145" s="1">
        <v>20.6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1" t="s">
        <v>759</v>
      </c>
      <c r="B146" s="1">
        <v>20.6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>
      <c r="A147" s="1" t="s">
        <v>760</v>
      </c>
      <c r="B147" s="1">
        <v>20.4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1" t="s">
        <v>761</v>
      </c>
      <c r="B148" s="1">
        <v>20.4</v>
      </c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>
      <c r="A149" s="1" t="s">
        <v>47</v>
      </c>
      <c r="B149" s="1">
        <v>20.4</v>
      </c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1" t="s">
        <v>220</v>
      </c>
      <c r="B150" s="1">
        <v>20.4</v>
      </c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>
      <c r="A151" s="1" t="s">
        <v>762</v>
      </c>
      <c r="B151" s="1">
        <v>20.3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1" t="s">
        <v>763</v>
      </c>
      <c r="B152" s="1">
        <v>20.2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>
      <c r="A153" s="1" t="s">
        <v>764</v>
      </c>
      <c r="B153" s="1">
        <v>20.1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1" t="s">
        <v>93</v>
      </c>
      <c r="B154" s="1">
        <v>20.1</v>
      </c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>
      <c r="A155" s="1" t="s">
        <v>765</v>
      </c>
      <c r="B155" s="1">
        <v>20.0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1" t="s">
        <v>766</v>
      </c>
      <c r="B156" s="1">
        <v>20.0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>
      <c r="A157" s="1" t="s">
        <v>767</v>
      </c>
      <c r="B157" s="1">
        <v>20.0</v>
      </c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1" t="s">
        <v>768</v>
      </c>
      <c r="B158" s="1">
        <v>20.0</v>
      </c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>
      <c r="A159" s="1" t="s">
        <v>769</v>
      </c>
      <c r="B159" s="1">
        <v>20.0</v>
      </c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1" t="s">
        <v>770</v>
      </c>
      <c r="B160" s="1">
        <v>20.0</v>
      </c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>
      <c r="A161" s="1" t="s">
        <v>771</v>
      </c>
      <c r="B161" s="1">
        <v>19.9</v>
      </c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1" t="s">
        <v>772</v>
      </c>
      <c r="B162" s="1">
        <v>19.9</v>
      </c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>
      <c r="A163" s="1" t="s">
        <v>196</v>
      </c>
      <c r="B163" s="1">
        <v>19.9</v>
      </c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1" t="s">
        <v>76</v>
      </c>
      <c r="B164" s="1">
        <v>19.8</v>
      </c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>
      <c r="A165" s="1" t="s">
        <v>773</v>
      </c>
      <c r="B165" s="1">
        <v>19.8</v>
      </c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1" t="s">
        <v>774</v>
      </c>
      <c r="B166" s="1">
        <v>19.7</v>
      </c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>
      <c r="A167" s="1" t="s">
        <v>775</v>
      </c>
      <c r="B167" s="1">
        <v>19.7</v>
      </c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1" t="s">
        <v>776</v>
      </c>
      <c r="B168" s="1">
        <v>19.7</v>
      </c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>
      <c r="A169" s="1" t="s">
        <v>777</v>
      </c>
      <c r="B169" s="1">
        <v>19.6</v>
      </c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1" t="s">
        <v>96</v>
      </c>
      <c r="B170" s="1">
        <v>19.5</v>
      </c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>
      <c r="A171" s="1" t="s">
        <v>778</v>
      </c>
      <c r="B171" s="1">
        <v>19.5</v>
      </c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1" t="s">
        <v>49</v>
      </c>
      <c r="B172" s="1">
        <v>19.5</v>
      </c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>
      <c r="A173" s="1" t="s">
        <v>779</v>
      </c>
      <c r="B173" s="1">
        <v>19.5</v>
      </c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1" t="s">
        <v>780</v>
      </c>
      <c r="B174" s="1">
        <v>19.5</v>
      </c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>
      <c r="A175" s="1" t="s">
        <v>781</v>
      </c>
      <c r="B175" s="1">
        <v>19.4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1" t="s">
        <v>782</v>
      </c>
      <c r="B176" s="1">
        <v>19.4</v>
      </c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>
      <c r="A177" s="1" t="s">
        <v>783</v>
      </c>
      <c r="B177" s="1">
        <v>19.4</v>
      </c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1" t="s">
        <v>784</v>
      </c>
      <c r="B178" s="1">
        <v>19.4</v>
      </c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>
      <c r="A179" s="1" t="s">
        <v>785</v>
      </c>
      <c r="B179" s="1">
        <v>19.3</v>
      </c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1" t="s">
        <v>786</v>
      </c>
      <c r="B180" s="1">
        <v>19.3</v>
      </c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>
      <c r="A181" s="1" t="s">
        <v>787</v>
      </c>
      <c r="B181" s="1">
        <v>19.3</v>
      </c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1" t="s">
        <v>788</v>
      </c>
      <c r="B182" s="1">
        <v>19.2</v>
      </c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>
      <c r="A183" s="1" t="s">
        <v>148</v>
      </c>
      <c r="B183" s="1">
        <v>19.2</v>
      </c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1" t="s">
        <v>131</v>
      </c>
      <c r="B184" s="1">
        <v>19.2</v>
      </c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>
      <c r="A185" s="1" t="s">
        <v>789</v>
      </c>
      <c r="B185" s="1">
        <v>19.2</v>
      </c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1" t="s">
        <v>790</v>
      </c>
      <c r="B186" s="1">
        <v>19.1</v>
      </c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1" t="s">
        <v>791</v>
      </c>
      <c r="B187" s="1">
        <v>19.1</v>
      </c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1" t="s">
        <v>792</v>
      </c>
      <c r="B188" s="1">
        <v>19.1</v>
      </c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1" t="s">
        <v>793</v>
      </c>
      <c r="B189" s="1">
        <v>19.0</v>
      </c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1" t="s">
        <v>794</v>
      </c>
      <c r="B190" s="1">
        <v>19.0</v>
      </c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>
      <c r="A191" s="1" t="s">
        <v>795</v>
      </c>
      <c r="B191" s="1">
        <v>19.0</v>
      </c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1" t="s">
        <v>158</v>
      </c>
      <c r="B192" s="1">
        <v>19.0</v>
      </c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1" t="s">
        <v>796</v>
      </c>
      <c r="B193" s="1">
        <v>19.0</v>
      </c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1" t="s">
        <v>105</v>
      </c>
      <c r="B194" s="1">
        <v>19.0</v>
      </c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1" t="s">
        <v>227</v>
      </c>
      <c r="B195" s="1">
        <v>19.0</v>
      </c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1" t="s">
        <v>797</v>
      </c>
      <c r="B196" s="1">
        <v>18.9</v>
      </c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>
      <c r="A197" s="1" t="s">
        <v>798</v>
      </c>
      <c r="B197" s="1">
        <v>18.9</v>
      </c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1" t="s">
        <v>183</v>
      </c>
      <c r="B198" s="1">
        <v>18.9</v>
      </c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>
      <c r="A199" s="1" t="s">
        <v>152</v>
      </c>
      <c r="B199" s="1">
        <v>18.9</v>
      </c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1" t="s">
        <v>138</v>
      </c>
      <c r="B200" s="1">
        <v>18.8</v>
      </c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>
      <c r="A201" s="1" t="s">
        <v>799</v>
      </c>
      <c r="B201" s="1">
        <v>18.8</v>
      </c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1" t="s">
        <v>800</v>
      </c>
      <c r="B202" s="1">
        <v>18.7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1" t="s">
        <v>801</v>
      </c>
      <c r="B203" s="1">
        <v>18.7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1" t="s">
        <v>219</v>
      </c>
      <c r="B204" s="1">
        <v>18.7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1" t="s">
        <v>204</v>
      </c>
      <c r="B205" s="1">
        <v>18.7</v>
      </c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1" t="s">
        <v>111</v>
      </c>
      <c r="B206" s="1">
        <v>18.6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1" t="s">
        <v>802</v>
      </c>
      <c r="B207" s="1">
        <v>18.6</v>
      </c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1" t="s">
        <v>222</v>
      </c>
      <c r="B208" s="1">
        <v>18.6</v>
      </c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1" t="s">
        <v>143</v>
      </c>
      <c r="B209" s="1">
        <v>18.6</v>
      </c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1" t="s">
        <v>803</v>
      </c>
      <c r="B210" s="1">
        <v>18.5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>
      <c r="A211" s="1" t="s">
        <v>209</v>
      </c>
      <c r="B211" s="1">
        <v>18.5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1" t="s">
        <v>804</v>
      </c>
      <c r="B212" s="1">
        <v>18.5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1" t="s">
        <v>805</v>
      </c>
      <c r="B213" s="1">
        <v>18.4</v>
      </c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1" t="s">
        <v>806</v>
      </c>
      <c r="B214" s="1">
        <v>18.4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1" t="s">
        <v>807</v>
      </c>
      <c r="B215" s="1">
        <v>18.4</v>
      </c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1" t="s">
        <v>808</v>
      </c>
      <c r="B216" s="1">
        <v>18.4</v>
      </c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1" t="s">
        <v>809</v>
      </c>
      <c r="B217" s="1">
        <v>18.4</v>
      </c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1" t="s">
        <v>223</v>
      </c>
      <c r="B218" s="1">
        <v>18.4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1" t="s">
        <v>43</v>
      </c>
      <c r="B219" s="1">
        <v>18.4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>
      <c r="A220" s="1" t="s">
        <v>810</v>
      </c>
      <c r="B220" s="1">
        <v>18.3</v>
      </c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1" t="s">
        <v>91</v>
      </c>
      <c r="B221" s="1">
        <v>18.3</v>
      </c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1" t="s">
        <v>77</v>
      </c>
      <c r="B222" s="1">
        <v>18.3</v>
      </c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1" t="s">
        <v>811</v>
      </c>
      <c r="B223" s="1">
        <v>18.3</v>
      </c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1" t="s">
        <v>812</v>
      </c>
      <c r="B224" s="1">
        <v>18.3</v>
      </c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1" t="s">
        <v>203</v>
      </c>
      <c r="B225" s="1">
        <v>18.2</v>
      </c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1" t="s">
        <v>813</v>
      </c>
      <c r="B226" s="1">
        <v>18.1</v>
      </c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1" t="s">
        <v>814</v>
      </c>
      <c r="B227" s="1">
        <v>18.1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1" t="s">
        <v>815</v>
      </c>
      <c r="B228" s="1">
        <v>18.1</v>
      </c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1" t="s">
        <v>816</v>
      </c>
      <c r="B229" s="1">
        <v>18.1</v>
      </c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1" t="s">
        <v>817</v>
      </c>
      <c r="B230" s="1">
        <v>18.1</v>
      </c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1" t="s">
        <v>818</v>
      </c>
      <c r="B231" s="1">
        <v>18.0</v>
      </c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1" t="s">
        <v>89</v>
      </c>
      <c r="B232" s="1">
        <v>18.0</v>
      </c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1" t="s">
        <v>819</v>
      </c>
      <c r="B233" s="1">
        <v>18.0</v>
      </c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1" t="s">
        <v>820</v>
      </c>
      <c r="B234" s="1">
        <v>17.9</v>
      </c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1" t="s">
        <v>821</v>
      </c>
      <c r="B235" s="1">
        <v>17.9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1" t="s">
        <v>822</v>
      </c>
      <c r="B236" s="1">
        <v>17.9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>
      <c r="A237" s="1" t="s">
        <v>110</v>
      </c>
      <c r="B237" s="1">
        <v>17.9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1" t="s">
        <v>823</v>
      </c>
      <c r="B238" s="1">
        <v>17.9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1" t="s">
        <v>824</v>
      </c>
      <c r="B239" s="1">
        <v>17.9</v>
      </c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1" t="s">
        <v>83</v>
      </c>
      <c r="B240" s="1">
        <v>17.8</v>
      </c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>
      <c r="A241" s="1" t="s">
        <v>82</v>
      </c>
      <c r="B241" s="1">
        <v>17.8</v>
      </c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1" t="s">
        <v>825</v>
      </c>
      <c r="B242" s="1">
        <v>17.8</v>
      </c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1" t="s">
        <v>826</v>
      </c>
      <c r="B243" s="1">
        <v>17.8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1" t="s">
        <v>180</v>
      </c>
      <c r="B244" s="1">
        <v>17.7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>
      <c r="A245" s="1" t="s">
        <v>174</v>
      </c>
      <c r="B245" s="1">
        <v>17.7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1" t="s">
        <v>827</v>
      </c>
      <c r="B246" s="1">
        <v>17.6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>
      <c r="A247" s="1" t="s">
        <v>200</v>
      </c>
      <c r="B247" s="1">
        <v>17.6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1" t="s">
        <v>117</v>
      </c>
      <c r="B248" s="1">
        <v>17.6</v>
      </c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1" t="s">
        <v>828</v>
      </c>
      <c r="B249" s="1">
        <v>17.5</v>
      </c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1" t="s">
        <v>829</v>
      </c>
      <c r="B250" s="1">
        <v>17.5</v>
      </c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1" t="s">
        <v>830</v>
      </c>
      <c r="B251" s="1">
        <v>17.5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1" t="s">
        <v>831</v>
      </c>
      <c r="B252" s="1">
        <v>17.5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1" t="s">
        <v>832</v>
      </c>
      <c r="B253" s="1">
        <v>17.5</v>
      </c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1" t="s">
        <v>833</v>
      </c>
      <c r="B254" s="1">
        <v>17.5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>
      <c r="A255" s="1" t="s">
        <v>119</v>
      </c>
      <c r="B255" s="1">
        <v>17.5</v>
      </c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1" t="s">
        <v>834</v>
      </c>
      <c r="B256" s="1">
        <v>17.4</v>
      </c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>
      <c r="A257" s="1" t="s">
        <v>835</v>
      </c>
      <c r="B257" s="1">
        <v>17.3</v>
      </c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1" t="s">
        <v>836</v>
      </c>
      <c r="B258" s="1">
        <v>17.3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>
      <c r="A259" s="1" t="s">
        <v>837</v>
      </c>
      <c r="B259" s="1">
        <v>17.3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1" t="s">
        <v>201</v>
      </c>
      <c r="B260" s="1">
        <v>17.2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>
      <c r="A261" s="1" t="s">
        <v>838</v>
      </c>
      <c r="B261" s="1">
        <v>17.2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1" t="s">
        <v>839</v>
      </c>
      <c r="B262" s="1">
        <v>17.2</v>
      </c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>
      <c r="A263" s="1" t="s">
        <v>124</v>
      </c>
      <c r="B263" s="1">
        <v>17.1</v>
      </c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1" t="s">
        <v>840</v>
      </c>
      <c r="B264" s="1">
        <v>17.1</v>
      </c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1" t="s">
        <v>841</v>
      </c>
      <c r="B265" s="1">
        <v>17.0</v>
      </c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1" t="s">
        <v>842</v>
      </c>
      <c r="B266" s="1">
        <v>17.0</v>
      </c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1" t="s">
        <v>197</v>
      </c>
      <c r="B267" s="1">
        <v>17.0</v>
      </c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1" t="s">
        <v>133</v>
      </c>
      <c r="B268" s="1">
        <v>17.0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>
      <c r="A269" s="1" t="s">
        <v>97</v>
      </c>
      <c r="B269" s="1">
        <v>17.0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1" t="s">
        <v>843</v>
      </c>
      <c r="B270" s="1">
        <v>16.9</v>
      </c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1" t="s">
        <v>844</v>
      </c>
      <c r="B271" s="1">
        <v>16.9</v>
      </c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1" t="s">
        <v>139</v>
      </c>
      <c r="B272" s="1">
        <v>16.9</v>
      </c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1" t="s">
        <v>108</v>
      </c>
      <c r="B273" s="1">
        <v>16.9</v>
      </c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1" t="s">
        <v>845</v>
      </c>
      <c r="B274" s="1">
        <v>16.9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>
      <c r="A275" s="1" t="s">
        <v>181</v>
      </c>
      <c r="B275" s="1">
        <v>16.9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1" t="s">
        <v>846</v>
      </c>
      <c r="B276" s="1">
        <v>16.8</v>
      </c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1" t="s">
        <v>847</v>
      </c>
      <c r="B277" s="1">
        <v>16.7</v>
      </c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1" t="s">
        <v>102</v>
      </c>
      <c r="B278" s="1">
        <v>16.7</v>
      </c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1" t="s">
        <v>195</v>
      </c>
      <c r="B279" s="1">
        <v>16.7</v>
      </c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1" t="s">
        <v>78</v>
      </c>
      <c r="B280" s="1">
        <v>16.7</v>
      </c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1" t="s">
        <v>112</v>
      </c>
      <c r="B281" s="1">
        <v>16.7</v>
      </c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1" t="s">
        <v>214</v>
      </c>
      <c r="B282" s="1">
        <v>16.7</v>
      </c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1" t="s">
        <v>848</v>
      </c>
      <c r="B283" s="1">
        <v>16.7</v>
      </c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1" t="s">
        <v>849</v>
      </c>
      <c r="B284" s="1">
        <v>16.7</v>
      </c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1" t="s">
        <v>850</v>
      </c>
      <c r="B285" s="1">
        <v>16.7</v>
      </c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1" t="s">
        <v>851</v>
      </c>
      <c r="B286" s="1">
        <v>16.7</v>
      </c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1" t="s">
        <v>852</v>
      </c>
      <c r="B287" s="1">
        <v>16.7</v>
      </c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1" t="s">
        <v>853</v>
      </c>
      <c r="B288" s="1">
        <v>16.6</v>
      </c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1" t="s">
        <v>854</v>
      </c>
      <c r="B289" s="1">
        <v>16.6</v>
      </c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1" t="s">
        <v>855</v>
      </c>
      <c r="B290" s="1">
        <v>16.6</v>
      </c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1" t="s">
        <v>46</v>
      </c>
      <c r="B291" s="1">
        <v>16.6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1" t="s">
        <v>856</v>
      </c>
      <c r="B292" s="1">
        <v>16.6</v>
      </c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1" t="s">
        <v>113</v>
      </c>
      <c r="B293" s="1">
        <v>16.5</v>
      </c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1" t="s">
        <v>190</v>
      </c>
      <c r="B294" s="1">
        <v>16.5</v>
      </c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1" t="s">
        <v>857</v>
      </c>
      <c r="B295" s="1">
        <v>16.5</v>
      </c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1" t="s">
        <v>208</v>
      </c>
      <c r="B296" s="1">
        <v>16.5</v>
      </c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1" t="s">
        <v>176</v>
      </c>
      <c r="B297" s="1">
        <v>16.5</v>
      </c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1" t="s">
        <v>858</v>
      </c>
      <c r="B298" s="1">
        <v>16.4</v>
      </c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>
      <c r="A299" s="1" t="s">
        <v>859</v>
      </c>
      <c r="B299" s="1">
        <v>16.4</v>
      </c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1" t="s">
        <v>860</v>
      </c>
      <c r="B300" s="1">
        <v>16.4</v>
      </c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1" t="s">
        <v>120</v>
      </c>
      <c r="B301" s="1">
        <v>16.4</v>
      </c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1" t="s">
        <v>861</v>
      </c>
      <c r="B302" s="1">
        <v>16.4</v>
      </c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1" t="s">
        <v>862</v>
      </c>
      <c r="B303" s="1">
        <v>16.4</v>
      </c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1" t="s">
        <v>182</v>
      </c>
      <c r="B304" s="1">
        <v>16.4</v>
      </c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1" t="s">
        <v>177</v>
      </c>
      <c r="B305" s="1">
        <v>16.4</v>
      </c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1" t="s">
        <v>90</v>
      </c>
      <c r="B306" s="1">
        <v>16.3</v>
      </c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1" t="s">
        <v>63</v>
      </c>
      <c r="B307" s="1">
        <v>16.3</v>
      </c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1" t="s">
        <v>166</v>
      </c>
      <c r="B308" s="1">
        <v>16.3</v>
      </c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1" t="s">
        <v>144</v>
      </c>
      <c r="B309" s="1">
        <v>16.3</v>
      </c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1" t="s">
        <v>136</v>
      </c>
      <c r="B310" s="1">
        <v>16.3</v>
      </c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1" t="s">
        <v>863</v>
      </c>
      <c r="B311" s="1">
        <v>16.3</v>
      </c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1" t="s">
        <v>184</v>
      </c>
      <c r="B312" s="1">
        <v>16.3</v>
      </c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1" t="s">
        <v>121</v>
      </c>
      <c r="B313" s="1">
        <v>16.3</v>
      </c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1" t="s">
        <v>864</v>
      </c>
      <c r="B314" s="1">
        <v>16.3</v>
      </c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1" t="s">
        <v>865</v>
      </c>
      <c r="B315" s="1">
        <v>16.2</v>
      </c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1" t="s">
        <v>69</v>
      </c>
      <c r="B316" s="1">
        <v>16.2</v>
      </c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1" t="s">
        <v>74</v>
      </c>
      <c r="B317" s="1">
        <v>16.2</v>
      </c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1" t="s">
        <v>866</v>
      </c>
      <c r="B318" s="1">
        <v>16.2</v>
      </c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1" t="s">
        <v>867</v>
      </c>
      <c r="B319" s="1">
        <v>16.1</v>
      </c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1" t="s">
        <v>868</v>
      </c>
      <c r="B320" s="1">
        <v>16.1</v>
      </c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1" t="s">
        <v>869</v>
      </c>
      <c r="B321" s="1">
        <v>16.1</v>
      </c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1" t="s">
        <v>80</v>
      </c>
      <c r="B322" s="1">
        <v>16.1</v>
      </c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>
      <c r="A323" s="1" t="s">
        <v>870</v>
      </c>
      <c r="B323" s="1">
        <v>16.0</v>
      </c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1" t="s">
        <v>871</v>
      </c>
      <c r="B324" s="1">
        <v>16.0</v>
      </c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1" t="s">
        <v>872</v>
      </c>
      <c r="B325" s="1">
        <v>15.9</v>
      </c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1" t="s">
        <v>129</v>
      </c>
      <c r="B326" s="1">
        <v>15.9</v>
      </c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1" t="s">
        <v>205</v>
      </c>
      <c r="B327" s="1">
        <v>15.9</v>
      </c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1" t="s">
        <v>94</v>
      </c>
      <c r="B328" s="1">
        <v>15.9</v>
      </c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1" t="s">
        <v>873</v>
      </c>
      <c r="B329" s="1">
        <v>15.9</v>
      </c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1" t="s">
        <v>874</v>
      </c>
      <c r="B330" s="1">
        <v>15.9</v>
      </c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1" t="s">
        <v>875</v>
      </c>
      <c r="B331" s="1">
        <v>15.9</v>
      </c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1" t="s">
        <v>876</v>
      </c>
      <c r="B332" s="1">
        <v>15.8</v>
      </c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1" t="s">
        <v>877</v>
      </c>
      <c r="B333" s="1">
        <v>15.8</v>
      </c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1" t="s">
        <v>149</v>
      </c>
      <c r="B334" s="1">
        <v>15.7</v>
      </c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1" t="s">
        <v>107</v>
      </c>
      <c r="B335" s="1">
        <v>15.7</v>
      </c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1" t="s">
        <v>99</v>
      </c>
      <c r="B336" s="1">
        <v>15.7</v>
      </c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1" t="s">
        <v>68</v>
      </c>
      <c r="B337" s="1">
        <v>15.7</v>
      </c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1" t="s">
        <v>878</v>
      </c>
      <c r="B338" s="1">
        <v>15.7</v>
      </c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1" t="s">
        <v>879</v>
      </c>
      <c r="B339" s="1">
        <v>15.7</v>
      </c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1" t="s">
        <v>141</v>
      </c>
      <c r="B340" s="1">
        <v>15.7</v>
      </c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1" t="s">
        <v>880</v>
      </c>
      <c r="B341" s="1">
        <v>15.6</v>
      </c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1" t="s">
        <v>881</v>
      </c>
      <c r="B342" s="1">
        <v>15.6</v>
      </c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>
      <c r="A343" s="1" t="s">
        <v>882</v>
      </c>
      <c r="B343" s="1">
        <v>15.6</v>
      </c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1" t="s">
        <v>883</v>
      </c>
      <c r="B344" s="1">
        <v>15.6</v>
      </c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1" t="s">
        <v>884</v>
      </c>
      <c r="B345" s="1">
        <v>15.5</v>
      </c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1" t="s">
        <v>885</v>
      </c>
      <c r="B346" s="1">
        <v>15.5</v>
      </c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1" t="s">
        <v>115</v>
      </c>
      <c r="B347" s="1">
        <v>15.5</v>
      </c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1" t="s">
        <v>886</v>
      </c>
      <c r="B348" s="1">
        <v>15.5</v>
      </c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1" t="s">
        <v>100</v>
      </c>
      <c r="B349" s="1">
        <v>15.5</v>
      </c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1" t="s">
        <v>887</v>
      </c>
      <c r="B350" s="1">
        <v>15.5</v>
      </c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1" t="s">
        <v>888</v>
      </c>
      <c r="B351" s="1">
        <v>15.4</v>
      </c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1" t="s">
        <v>217</v>
      </c>
      <c r="B352" s="1">
        <v>15.4</v>
      </c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1" t="s">
        <v>889</v>
      </c>
      <c r="B353" s="1">
        <v>15.4</v>
      </c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1" t="s">
        <v>890</v>
      </c>
      <c r="B354" s="1">
        <v>15.4</v>
      </c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1" t="s">
        <v>891</v>
      </c>
      <c r="B355" s="1">
        <v>15.3</v>
      </c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1" t="s">
        <v>892</v>
      </c>
      <c r="B356" s="1">
        <v>15.3</v>
      </c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1" t="s">
        <v>893</v>
      </c>
      <c r="B357" s="1">
        <v>15.3</v>
      </c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1" t="s">
        <v>894</v>
      </c>
      <c r="B358" s="1">
        <v>15.2</v>
      </c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1" t="s">
        <v>226</v>
      </c>
      <c r="B359" s="1">
        <v>15.2</v>
      </c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1" t="s">
        <v>895</v>
      </c>
      <c r="B360" s="1">
        <v>15.2</v>
      </c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1" t="s">
        <v>134</v>
      </c>
      <c r="B361" s="1">
        <v>15.2</v>
      </c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1" t="s">
        <v>896</v>
      </c>
      <c r="B362" s="1">
        <v>15.2</v>
      </c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1" t="s">
        <v>897</v>
      </c>
      <c r="B363" s="1">
        <v>15.1</v>
      </c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1" t="s">
        <v>898</v>
      </c>
      <c r="B364" s="1">
        <v>15.1</v>
      </c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1" t="s">
        <v>150</v>
      </c>
      <c r="B365" s="1">
        <v>15.1</v>
      </c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1" t="s">
        <v>899</v>
      </c>
      <c r="B366" s="1">
        <v>15.1</v>
      </c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1" t="s">
        <v>900</v>
      </c>
      <c r="B367" s="1">
        <v>15.1</v>
      </c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1" t="s">
        <v>213</v>
      </c>
      <c r="B368" s="1">
        <v>15.1</v>
      </c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1" t="s">
        <v>901</v>
      </c>
      <c r="B369" s="1">
        <v>15.1</v>
      </c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1" t="s">
        <v>61</v>
      </c>
      <c r="B370" s="1">
        <v>15.1</v>
      </c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1" t="s">
        <v>902</v>
      </c>
      <c r="B371" s="1">
        <v>15.1</v>
      </c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1" t="s">
        <v>903</v>
      </c>
      <c r="B372" s="1">
        <v>14.9</v>
      </c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1" t="s">
        <v>904</v>
      </c>
      <c r="B373" s="1">
        <v>14.9</v>
      </c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1" t="s">
        <v>178</v>
      </c>
      <c r="B374" s="1">
        <v>14.8</v>
      </c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1" t="s">
        <v>84</v>
      </c>
      <c r="B375" s="1">
        <v>14.8</v>
      </c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1" t="s">
        <v>905</v>
      </c>
      <c r="B376" s="1">
        <v>14.8</v>
      </c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1" t="s">
        <v>191</v>
      </c>
      <c r="B377" s="1">
        <v>14.8</v>
      </c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1" t="s">
        <v>70</v>
      </c>
      <c r="B378" s="1">
        <v>14.8</v>
      </c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>
      <c r="A379" s="1" t="s">
        <v>101</v>
      </c>
      <c r="B379" s="1">
        <v>14.7</v>
      </c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1" t="s">
        <v>906</v>
      </c>
      <c r="B380" s="1">
        <v>14.7</v>
      </c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1" t="s">
        <v>142</v>
      </c>
      <c r="B381" s="1">
        <v>14.7</v>
      </c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1" t="s">
        <v>907</v>
      </c>
      <c r="B382" s="1">
        <v>14.7</v>
      </c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1" t="s">
        <v>908</v>
      </c>
      <c r="B383" s="1">
        <v>14.7</v>
      </c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1" t="s">
        <v>79</v>
      </c>
      <c r="B384" s="1">
        <v>14.7</v>
      </c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1" t="s">
        <v>909</v>
      </c>
      <c r="B385" s="1">
        <v>14.6</v>
      </c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1" t="s">
        <v>910</v>
      </c>
      <c r="B386" s="1">
        <v>14.6</v>
      </c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1" t="s">
        <v>156</v>
      </c>
      <c r="B387" s="1">
        <v>14.6</v>
      </c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1" t="s">
        <v>911</v>
      </c>
      <c r="B388" s="1">
        <v>14.5</v>
      </c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1" t="s">
        <v>912</v>
      </c>
      <c r="B389" s="1">
        <v>14.5</v>
      </c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1" t="s">
        <v>169</v>
      </c>
      <c r="B390" s="1">
        <v>14.5</v>
      </c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1" t="s">
        <v>913</v>
      </c>
      <c r="B391" s="1">
        <v>14.5</v>
      </c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1" t="s">
        <v>914</v>
      </c>
      <c r="B392" s="1">
        <v>14.5</v>
      </c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1" t="s">
        <v>915</v>
      </c>
      <c r="B393" s="1">
        <v>14.4</v>
      </c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1" t="s">
        <v>916</v>
      </c>
      <c r="B394" s="1">
        <v>14.4</v>
      </c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1" t="s">
        <v>917</v>
      </c>
      <c r="B395" s="1">
        <v>14.3</v>
      </c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1" t="s">
        <v>918</v>
      </c>
      <c r="B396" s="1">
        <v>14.3</v>
      </c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1" t="s">
        <v>919</v>
      </c>
      <c r="B397" s="1">
        <v>14.3</v>
      </c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1" t="s">
        <v>920</v>
      </c>
      <c r="B398" s="1">
        <v>14.3</v>
      </c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1" t="s">
        <v>921</v>
      </c>
      <c r="B399" s="1">
        <v>14.2</v>
      </c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1" t="s">
        <v>922</v>
      </c>
      <c r="B400" s="1">
        <v>14.2</v>
      </c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>
      <c r="A401" s="1" t="s">
        <v>923</v>
      </c>
      <c r="B401" s="1">
        <v>14.2</v>
      </c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1" t="s">
        <v>924</v>
      </c>
      <c r="B402" s="1">
        <v>14.1</v>
      </c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1" t="s">
        <v>925</v>
      </c>
      <c r="B403" s="1">
        <v>14.1</v>
      </c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1" t="s">
        <v>926</v>
      </c>
      <c r="B404" s="1">
        <v>14.1</v>
      </c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1" t="s">
        <v>927</v>
      </c>
      <c r="B405" s="1">
        <v>14.1</v>
      </c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1" t="s">
        <v>126</v>
      </c>
      <c r="B406" s="1">
        <v>14.1</v>
      </c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>
      <c r="A407" s="1" t="s">
        <v>188</v>
      </c>
      <c r="B407" s="1">
        <v>14.0</v>
      </c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1" t="s">
        <v>140</v>
      </c>
      <c r="B408" s="1">
        <v>14.0</v>
      </c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1" t="s">
        <v>928</v>
      </c>
      <c r="B409" s="1">
        <v>14.0</v>
      </c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1" t="s">
        <v>929</v>
      </c>
      <c r="B410" s="1">
        <v>13.9</v>
      </c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1" t="s">
        <v>930</v>
      </c>
      <c r="B411" s="1">
        <v>13.9</v>
      </c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1" t="s">
        <v>118</v>
      </c>
      <c r="B412" s="1">
        <v>13.9</v>
      </c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1" t="s">
        <v>175</v>
      </c>
      <c r="B413" s="1">
        <v>13.8</v>
      </c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1" t="s">
        <v>931</v>
      </c>
      <c r="B414" s="1">
        <v>13.8</v>
      </c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>
      <c r="A415" s="1" t="s">
        <v>932</v>
      </c>
      <c r="B415" s="1">
        <v>13.8</v>
      </c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1" t="s">
        <v>933</v>
      </c>
      <c r="B416" s="1">
        <v>13.8</v>
      </c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1" t="s">
        <v>122</v>
      </c>
      <c r="B417" s="1">
        <v>13.8</v>
      </c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1" t="s">
        <v>934</v>
      </c>
      <c r="B418" s="1">
        <v>13.7</v>
      </c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1" t="s">
        <v>935</v>
      </c>
      <c r="B419" s="1">
        <v>13.7</v>
      </c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1" t="s">
        <v>936</v>
      </c>
      <c r="B420" s="1">
        <v>13.7</v>
      </c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>
      <c r="A421" s="1" t="s">
        <v>937</v>
      </c>
      <c r="B421" s="1">
        <v>13.6</v>
      </c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1" t="s">
        <v>173</v>
      </c>
      <c r="B422" s="1">
        <v>13.6</v>
      </c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1" t="s">
        <v>172</v>
      </c>
      <c r="B423" s="1">
        <v>13.6</v>
      </c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1" t="s">
        <v>114</v>
      </c>
      <c r="B424" s="1">
        <v>13.6</v>
      </c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1" t="s">
        <v>938</v>
      </c>
      <c r="B425" s="1">
        <v>13.5</v>
      </c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1" t="s">
        <v>939</v>
      </c>
      <c r="B426" s="1">
        <v>13.5</v>
      </c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1" t="s">
        <v>940</v>
      </c>
      <c r="B427" s="1">
        <v>13.5</v>
      </c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1" t="s">
        <v>189</v>
      </c>
      <c r="B428" s="1">
        <v>13.5</v>
      </c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1" t="s">
        <v>132</v>
      </c>
      <c r="B429" s="1">
        <v>13.5</v>
      </c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1" t="s">
        <v>941</v>
      </c>
      <c r="B430" s="1">
        <v>13.5</v>
      </c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1" t="s">
        <v>942</v>
      </c>
      <c r="B431" s="1">
        <v>13.5</v>
      </c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1" t="s">
        <v>943</v>
      </c>
      <c r="B432" s="1">
        <v>13.4</v>
      </c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1" t="s">
        <v>130</v>
      </c>
      <c r="B433" s="1">
        <v>13.3</v>
      </c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1" t="s">
        <v>146</v>
      </c>
      <c r="B434" s="1">
        <v>13.3</v>
      </c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1" t="s">
        <v>944</v>
      </c>
      <c r="B435" s="1">
        <v>13.3</v>
      </c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1" t="s">
        <v>945</v>
      </c>
      <c r="B436" s="1">
        <v>13.3</v>
      </c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1" t="s">
        <v>946</v>
      </c>
      <c r="B437" s="1">
        <v>13.3</v>
      </c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1" t="s">
        <v>947</v>
      </c>
      <c r="B438" s="1">
        <v>13.3</v>
      </c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1" t="s">
        <v>948</v>
      </c>
      <c r="B439" s="1">
        <v>13.3</v>
      </c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1" t="s">
        <v>218</v>
      </c>
      <c r="B440" s="1">
        <v>13.3</v>
      </c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1" t="s">
        <v>207</v>
      </c>
      <c r="B441" s="1">
        <v>13.3</v>
      </c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1" t="s">
        <v>949</v>
      </c>
      <c r="B442" s="1">
        <v>13.3</v>
      </c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1" t="s">
        <v>71</v>
      </c>
      <c r="B443" s="1">
        <v>13.3</v>
      </c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1" t="s">
        <v>950</v>
      </c>
      <c r="B444" s="1">
        <v>13.2</v>
      </c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1" t="s">
        <v>81</v>
      </c>
      <c r="B445" s="1">
        <v>13.1</v>
      </c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1" t="s">
        <v>951</v>
      </c>
      <c r="B446" s="1">
        <v>13.1</v>
      </c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1" t="s">
        <v>952</v>
      </c>
      <c r="B447" s="1">
        <v>13.1</v>
      </c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1" t="s">
        <v>953</v>
      </c>
      <c r="B448" s="1">
        <v>12.9</v>
      </c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>
      <c r="A449" s="1" t="s">
        <v>954</v>
      </c>
      <c r="B449" s="1">
        <v>12.8</v>
      </c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1" t="s">
        <v>955</v>
      </c>
      <c r="B450" s="1">
        <v>12.8</v>
      </c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1" t="s">
        <v>48</v>
      </c>
      <c r="B451" s="1">
        <v>12.8</v>
      </c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1" t="s">
        <v>163</v>
      </c>
      <c r="B452" s="1">
        <v>12.8</v>
      </c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1" t="s">
        <v>956</v>
      </c>
      <c r="B453" s="1">
        <v>12.8</v>
      </c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1" t="s">
        <v>957</v>
      </c>
      <c r="B454" s="1">
        <v>12.8</v>
      </c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>
      <c r="A455" s="1" t="s">
        <v>958</v>
      </c>
      <c r="B455" s="1">
        <v>12.7</v>
      </c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1" t="s">
        <v>959</v>
      </c>
      <c r="B456" s="1">
        <v>12.7</v>
      </c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1" t="s">
        <v>960</v>
      </c>
      <c r="B457" s="1">
        <v>12.7</v>
      </c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1" t="s">
        <v>187</v>
      </c>
      <c r="B458" s="1">
        <v>12.7</v>
      </c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>
      <c r="A459" s="1" t="s">
        <v>224</v>
      </c>
      <c r="B459" s="1">
        <v>12.7</v>
      </c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1" t="s">
        <v>161</v>
      </c>
      <c r="B460" s="1">
        <v>12.6</v>
      </c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1" t="s">
        <v>145</v>
      </c>
      <c r="B461" s="1">
        <v>12.6</v>
      </c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1" t="s">
        <v>160</v>
      </c>
      <c r="B462" s="1">
        <v>12.6</v>
      </c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1" t="s">
        <v>164</v>
      </c>
      <c r="B463" s="1">
        <v>12.5</v>
      </c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1" t="s">
        <v>961</v>
      </c>
      <c r="B464" s="1">
        <v>12.4</v>
      </c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>
      <c r="A465" s="1" t="s">
        <v>962</v>
      </c>
      <c r="B465" s="1">
        <v>12.3</v>
      </c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1" t="s">
        <v>168</v>
      </c>
      <c r="B466" s="1">
        <v>12.2</v>
      </c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1" t="s">
        <v>963</v>
      </c>
      <c r="B467" s="1">
        <v>12.2</v>
      </c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1" t="s">
        <v>206</v>
      </c>
      <c r="B468" s="1">
        <v>12.2</v>
      </c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>
      <c r="A469" s="1" t="s">
        <v>964</v>
      </c>
      <c r="B469" s="1">
        <v>12.1</v>
      </c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1" t="s">
        <v>965</v>
      </c>
      <c r="B470" s="1">
        <v>12.0</v>
      </c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1" t="s">
        <v>966</v>
      </c>
      <c r="B471" s="1">
        <v>12.0</v>
      </c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1" t="s">
        <v>967</v>
      </c>
      <c r="B472" s="1">
        <v>12.0</v>
      </c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1" t="s">
        <v>968</v>
      </c>
      <c r="B473" s="1">
        <v>12.0</v>
      </c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1" t="s">
        <v>969</v>
      </c>
      <c r="B474" s="1">
        <v>12.0</v>
      </c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1" t="s">
        <v>970</v>
      </c>
      <c r="B475" s="1">
        <v>11.9</v>
      </c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1" t="s">
        <v>192</v>
      </c>
      <c r="B476" s="1">
        <v>11.9</v>
      </c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1" t="s">
        <v>971</v>
      </c>
      <c r="B477" s="1">
        <v>11.9</v>
      </c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1" t="s">
        <v>167</v>
      </c>
      <c r="B478" s="1">
        <v>11.8</v>
      </c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1" t="s">
        <v>972</v>
      </c>
      <c r="B479" s="1">
        <v>11.8</v>
      </c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1" t="s">
        <v>973</v>
      </c>
      <c r="B480" s="1">
        <v>11.8</v>
      </c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>
      <c r="A481" s="1" t="s">
        <v>109</v>
      </c>
      <c r="B481" s="1">
        <v>11.8</v>
      </c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1" t="s">
        <v>974</v>
      </c>
      <c r="B482" s="1">
        <v>11.8</v>
      </c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1" t="s">
        <v>975</v>
      </c>
      <c r="B483" s="1">
        <v>11.8</v>
      </c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1" t="s">
        <v>976</v>
      </c>
      <c r="B484" s="1">
        <v>11.7</v>
      </c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>
      <c r="A485" s="1" t="s">
        <v>977</v>
      </c>
      <c r="B485" s="1">
        <v>11.7</v>
      </c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28"/>
      <c r="P485" s="24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1" t="s">
        <v>193</v>
      </c>
      <c r="B486" s="1">
        <v>11.7</v>
      </c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1" t="s">
        <v>88</v>
      </c>
      <c r="B487" s="1">
        <v>11.6</v>
      </c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1" t="s">
        <v>104</v>
      </c>
      <c r="B488" s="1">
        <v>11.6</v>
      </c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>
      <c r="A489" s="1" t="s">
        <v>978</v>
      </c>
      <c r="B489" s="1">
        <v>11.6</v>
      </c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1" t="s">
        <v>979</v>
      </c>
      <c r="B490" s="1">
        <v>11.6</v>
      </c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1" t="s">
        <v>980</v>
      </c>
      <c r="B491" s="1">
        <v>11.5</v>
      </c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1" t="s">
        <v>981</v>
      </c>
      <c r="B492" s="1">
        <v>11.4</v>
      </c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1" t="s">
        <v>137</v>
      </c>
      <c r="B493" s="1">
        <v>11.3</v>
      </c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1" t="s">
        <v>982</v>
      </c>
      <c r="B494" s="1">
        <v>11.3</v>
      </c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>
      <c r="A495" s="1" t="s">
        <v>151</v>
      </c>
      <c r="B495" s="1">
        <v>11.2</v>
      </c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1" t="s">
        <v>983</v>
      </c>
      <c r="B496" s="1">
        <v>11.2</v>
      </c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1" t="s">
        <v>984</v>
      </c>
      <c r="B497" s="1">
        <v>11.2</v>
      </c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1" t="s">
        <v>985</v>
      </c>
      <c r="B498" s="1">
        <v>11.1</v>
      </c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>
      <c r="A499" s="1" t="s">
        <v>986</v>
      </c>
      <c r="B499" s="1">
        <v>11.1</v>
      </c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1" t="s">
        <v>987</v>
      </c>
      <c r="B500" s="1">
        <v>11.1</v>
      </c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>
      <c r="A501" s="1" t="s">
        <v>988</v>
      </c>
      <c r="B501" s="1">
        <v>11.0</v>
      </c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1" t="s">
        <v>989</v>
      </c>
      <c r="B502" s="1">
        <v>11.0</v>
      </c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>
      <c r="A503" s="1" t="s">
        <v>87</v>
      </c>
      <c r="B503" s="1">
        <v>11.0</v>
      </c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1" t="s">
        <v>990</v>
      </c>
      <c r="B504" s="1">
        <v>10.9</v>
      </c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1" t="s">
        <v>991</v>
      </c>
      <c r="B505" s="1">
        <v>10.9</v>
      </c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1" t="s">
        <v>210</v>
      </c>
      <c r="B506" s="1">
        <v>10.7</v>
      </c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1" t="s">
        <v>992</v>
      </c>
      <c r="B507" s="1">
        <v>10.6</v>
      </c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1" t="s">
        <v>993</v>
      </c>
      <c r="B508" s="1">
        <v>10.6</v>
      </c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1" t="s">
        <v>170</v>
      </c>
      <c r="B509" s="1">
        <v>10.5</v>
      </c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1" t="s">
        <v>994</v>
      </c>
      <c r="B510" s="1">
        <v>10.3</v>
      </c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1" t="s">
        <v>159</v>
      </c>
      <c r="B511" s="1">
        <v>10.3</v>
      </c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1" t="s">
        <v>995</v>
      </c>
      <c r="B512" s="1">
        <v>10.3</v>
      </c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1" t="s">
        <v>225</v>
      </c>
      <c r="B513" s="1">
        <v>10.1</v>
      </c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1" t="s">
        <v>185</v>
      </c>
      <c r="B514" s="1">
        <v>10.1</v>
      </c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1" t="s">
        <v>996</v>
      </c>
      <c r="B515" s="1">
        <v>10.1</v>
      </c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1" t="s">
        <v>198</v>
      </c>
      <c r="B516" s="1">
        <v>10.1</v>
      </c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>
      <c r="A517" s="1" t="s">
        <v>154</v>
      </c>
      <c r="B517" s="1">
        <v>10.1</v>
      </c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1" t="s">
        <v>186</v>
      </c>
      <c r="B518" s="1">
        <v>9.9</v>
      </c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1" t="s">
        <v>997</v>
      </c>
      <c r="B519" s="1">
        <v>9.8</v>
      </c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1" t="s">
        <v>998</v>
      </c>
      <c r="B520" s="1">
        <v>9.8</v>
      </c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1" t="s">
        <v>999</v>
      </c>
      <c r="B521" s="1">
        <v>9.7</v>
      </c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1" t="s">
        <v>1000</v>
      </c>
      <c r="B522" s="1">
        <v>9.5</v>
      </c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1" t="s">
        <v>1001</v>
      </c>
      <c r="B523" s="1">
        <v>9.4</v>
      </c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1" t="s">
        <v>1002</v>
      </c>
      <c r="B524" s="1">
        <v>9.4</v>
      </c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1" t="s">
        <v>106</v>
      </c>
      <c r="B525" s="1">
        <v>9.3</v>
      </c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1" t="s">
        <v>127</v>
      </c>
      <c r="B526" s="1">
        <v>9.2</v>
      </c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1" t="s">
        <v>215</v>
      </c>
      <c r="B527" s="1">
        <v>9.2</v>
      </c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1" t="s">
        <v>1003</v>
      </c>
      <c r="B528" s="1">
        <v>9.0</v>
      </c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1" t="s">
        <v>1004</v>
      </c>
      <c r="B529" s="1">
        <v>8.9</v>
      </c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1" t="s">
        <v>1005</v>
      </c>
      <c r="B530" s="1">
        <v>8.5</v>
      </c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1" t="s">
        <v>165</v>
      </c>
      <c r="B531" s="1">
        <v>8.4</v>
      </c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1" t="s">
        <v>1006</v>
      </c>
      <c r="B532" s="1">
        <v>8.3</v>
      </c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1" t="s">
        <v>1007</v>
      </c>
      <c r="B533" s="1">
        <v>7.8</v>
      </c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1" t="s">
        <v>202</v>
      </c>
      <c r="B534" s="1">
        <v>7.3</v>
      </c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1" t="s">
        <v>1008</v>
      </c>
      <c r="B535" s="1">
        <v>4.8</v>
      </c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1" t="s">
        <v>1009</v>
      </c>
      <c r="B536" s="1">
        <v>2.6</v>
      </c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3" width="17.86"/>
  </cols>
  <sheetData>
    <row r="1">
      <c r="A1" s="16" t="s">
        <v>1010</v>
      </c>
      <c r="B1" s="16" t="s">
        <v>1011</v>
      </c>
      <c r="C1" s="59"/>
    </row>
    <row r="2">
      <c r="A2" s="16" t="s">
        <v>678</v>
      </c>
      <c r="B2" s="16" t="s">
        <v>1012</v>
      </c>
      <c r="C2" s="59"/>
    </row>
    <row r="3">
      <c r="A3" s="16" t="s">
        <v>886</v>
      </c>
      <c r="B3" s="16" t="s">
        <v>1013</v>
      </c>
      <c r="C3" s="59"/>
    </row>
    <row r="4">
      <c r="A4" s="16" t="s">
        <v>881</v>
      </c>
      <c r="B4" s="16" t="s">
        <v>1014</v>
      </c>
      <c r="C4" s="59"/>
    </row>
    <row r="5">
      <c r="A5" s="16" t="s">
        <v>899</v>
      </c>
      <c r="B5" s="16" t="s">
        <v>1015</v>
      </c>
      <c r="C5" s="59"/>
    </row>
    <row r="6">
      <c r="A6" s="16" t="s">
        <v>732</v>
      </c>
      <c r="B6" s="16" t="s">
        <v>1016</v>
      </c>
      <c r="C6" s="59"/>
    </row>
    <row r="7">
      <c r="A7" s="16" t="s">
        <v>795</v>
      </c>
      <c r="B7" s="16" t="s">
        <v>1016</v>
      </c>
      <c r="C7" s="59"/>
    </row>
    <row r="8">
      <c r="A8" s="16" t="s">
        <v>853</v>
      </c>
      <c r="B8" s="16" t="s">
        <v>1014</v>
      </c>
      <c r="C8" s="59"/>
    </row>
    <row r="9">
      <c r="A9" s="16" t="s">
        <v>949</v>
      </c>
      <c r="B9" s="16" t="s">
        <v>1012</v>
      </c>
      <c r="C9" s="59"/>
    </row>
    <row r="10">
      <c r="A10" s="16" t="s">
        <v>902</v>
      </c>
      <c r="B10" s="16" t="s">
        <v>1013</v>
      </c>
      <c r="C10" s="59"/>
    </row>
    <row r="11">
      <c r="A11" s="16" t="s">
        <v>677</v>
      </c>
      <c r="B11" s="16" t="s">
        <v>1017</v>
      </c>
      <c r="C11" s="59"/>
    </row>
    <row r="12">
      <c r="A12" s="16" t="s">
        <v>915</v>
      </c>
      <c r="B12" s="16" t="s">
        <v>1015</v>
      </c>
      <c r="C12" s="59"/>
    </row>
    <row r="13">
      <c r="A13" s="16" t="s">
        <v>747</v>
      </c>
      <c r="B13" s="16" t="s">
        <v>1015</v>
      </c>
      <c r="C13" s="59"/>
    </row>
    <row r="14">
      <c r="A14" s="16" t="s">
        <v>681</v>
      </c>
      <c r="B14" s="16" t="s">
        <v>1016</v>
      </c>
      <c r="C14" s="59"/>
    </row>
    <row r="15">
      <c r="A15" s="16" t="s">
        <v>734</v>
      </c>
      <c r="B15" s="16" t="s">
        <v>1012</v>
      </c>
      <c r="C15" s="59"/>
    </row>
    <row r="16">
      <c r="A16" s="16" t="s">
        <v>887</v>
      </c>
      <c r="B16" s="16" t="s">
        <v>1018</v>
      </c>
      <c r="C16" s="59"/>
    </row>
    <row r="17">
      <c r="A17" s="16" t="s">
        <v>775</v>
      </c>
      <c r="B17" s="16" t="s">
        <v>1015</v>
      </c>
      <c r="C17" s="59"/>
    </row>
    <row r="18">
      <c r="A18" s="16" t="s">
        <v>728</v>
      </c>
      <c r="B18" s="16" t="s">
        <v>1012</v>
      </c>
      <c r="C18" s="59"/>
    </row>
    <row r="19">
      <c r="A19" s="16" t="s">
        <v>927</v>
      </c>
      <c r="B19" s="16" t="s">
        <v>1014</v>
      </c>
      <c r="C19" s="59"/>
    </row>
    <row r="20">
      <c r="A20" s="16" t="s">
        <v>771</v>
      </c>
      <c r="B20" s="16" t="s">
        <v>1015</v>
      </c>
      <c r="C20" s="59"/>
    </row>
    <row r="21">
      <c r="A21" s="16" t="s">
        <v>875</v>
      </c>
      <c r="B21" s="16" t="s">
        <v>1016</v>
      </c>
      <c r="C21" s="59"/>
    </row>
    <row r="22">
      <c r="A22" s="16" t="s">
        <v>694</v>
      </c>
      <c r="B22" s="16" t="s">
        <v>1018</v>
      </c>
      <c r="C22" s="59"/>
    </row>
    <row r="23">
      <c r="A23" s="16" t="s">
        <v>991</v>
      </c>
      <c r="B23" s="16" t="s">
        <v>1014</v>
      </c>
      <c r="C23" s="59"/>
    </row>
    <row r="24">
      <c r="A24" s="16" t="s">
        <v>751</v>
      </c>
      <c r="B24" s="16" t="s">
        <v>1016</v>
      </c>
      <c r="C24" s="59"/>
    </row>
    <row r="25">
      <c r="A25" s="16" t="s">
        <v>919</v>
      </c>
      <c r="B25" s="16" t="s">
        <v>1012</v>
      </c>
      <c r="C25" s="59"/>
    </row>
    <row r="26">
      <c r="A26" s="16" t="s">
        <v>782</v>
      </c>
      <c r="B26" s="16" t="s">
        <v>1012</v>
      </c>
      <c r="C26" s="59"/>
    </row>
    <row r="27">
      <c r="A27" s="16" t="s">
        <v>680</v>
      </c>
      <c r="B27" s="16" t="s">
        <v>1015</v>
      </c>
      <c r="C27" s="59"/>
    </row>
    <row r="28">
      <c r="A28" s="16" t="s">
        <v>689</v>
      </c>
      <c r="B28" s="16" t="s">
        <v>1015</v>
      </c>
      <c r="C28" s="59"/>
    </row>
    <row r="29">
      <c r="A29" s="16" t="s">
        <v>784</v>
      </c>
      <c r="B29" s="16" t="s">
        <v>1019</v>
      </c>
      <c r="C29" s="59"/>
    </row>
    <row r="30">
      <c r="A30" s="16" t="s">
        <v>906</v>
      </c>
      <c r="B30" s="16" t="s">
        <v>1018</v>
      </c>
      <c r="C30" s="59"/>
    </row>
    <row r="31">
      <c r="A31" s="16" t="s">
        <v>978</v>
      </c>
      <c r="B31" s="16" t="s">
        <v>1019</v>
      </c>
      <c r="C31" s="59"/>
    </row>
    <row r="32">
      <c r="A32" s="16" t="s">
        <v>920</v>
      </c>
      <c r="B32" s="16" t="s">
        <v>1012</v>
      </c>
      <c r="C32" s="59"/>
    </row>
    <row r="33">
      <c r="A33" s="16" t="s">
        <v>857</v>
      </c>
      <c r="B33" s="16" t="s">
        <v>1013</v>
      </c>
      <c r="C33" s="59"/>
    </row>
    <row r="34">
      <c r="A34" s="16" t="s">
        <v>710</v>
      </c>
      <c r="B34" s="16" t="s">
        <v>1012</v>
      </c>
      <c r="C34" s="59"/>
    </row>
    <row r="35">
      <c r="A35" s="16" t="s">
        <v>749</v>
      </c>
      <c r="B35" s="16" t="s">
        <v>1012</v>
      </c>
      <c r="C35" s="59"/>
    </row>
    <row r="36">
      <c r="A36" s="16" t="s">
        <v>848</v>
      </c>
      <c r="B36" s="16" t="s">
        <v>1015</v>
      </c>
      <c r="C36" s="59"/>
    </row>
    <row r="37">
      <c r="A37" s="16" t="s">
        <v>789</v>
      </c>
      <c r="B37" s="16" t="s">
        <v>1019</v>
      </c>
      <c r="C37" s="59"/>
    </row>
    <row r="38">
      <c r="A38" s="16" t="s">
        <v>988</v>
      </c>
      <c r="B38" s="16" t="s">
        <v>1018</v>
      </c>
      <c r="C38" s="59"/>
    </row>
    <row r="39">
      <c r="A39" s="16" t="s">
        <v>817</v>
      </c>
      <c r="B39" s="16" t="s">
        <v>1018</v>
      </c>
      <c r="C39" s="59"/>
    </row>
    <row r="40">
      <c r="A40" s="16" t="s">
        <v>962</v>
      </c>
      <c r="B40" s="16" t="s">
        <v>1014</v>
      </c>
      <c r="C40" s="59"/>
    </row>
    <row r="41">
      <c r="A41" s="16" t="s">
        <v>862</v>
      </c>
      <c r="B41" s="16" t="s">
        <v>1015</v>
      </c>
      <c r="C41" s="59"/>
    </row>
    <row r="42">
      <c r="A42" s="16" t="s">
        <v>700</v>
      </c>
      <c r="B42" s="16" t="s">
        <v>1012</v>
      </c>
      <c r="C42" s="59"/>
    </row>
    <row r="43">
      <c r="A43" s="16" t="s">
        <v>819</v>
      </c>
      <c r="B43" s="16" t="s">
        <v>1012</v>
      </c>
      <c r="C43" s="59"/>
    </row>
    <row r="44">
      <c r="A44" s="16" t="s">
        <v>684</v>
      </c>
      <c r="B44" s="16" t="s">
        <v>1017</v>
      </c>
      <c r="C44" s="59"/>
    </row>
    <row r="45">
      <c r="A45" s="16" t="s">
        <v>679</v>
      </c>
      <c r="B45" s="16" t="s">
        <v>1015</v>
      </c>
      <c r="C45" s="59"/>
    </row>
    <row r="46">
      <c r="A46" s="16" t="s">
        <v>914</v>
      </c>
      <c r="B46" s="16" t="s">
        <v>1018</v>
      </c>
      <c r="C46" s="59"/>
    </row>
    <row r="47">
      <c r="A47" s="16" t="s">
        <v>735</v>
      </c>
      <c r="B47" s="16" t="s">
        <v>1014</v>
      </c>
      <c r="C47" s="59"/>
    </row>
    <row r="48">
      <c r="A48" s="16" t="s">
        <v>972</v>
      </c>
      <c r="B48" s="16" t="s">
        <v>1015</v>
      </c>
      <c r="C48" s="59"/>
    </row>
    <row r="49">
      <c r="A49" s="16" t="s">
        <v>872</v>
      </c>
      <c r="B49" s="16" t="s">
        <v>1012</v>
      </c>
      <c r="C49" s="59"/>
    </row>
    <row r="50">
      <c r="A50" s="16" t="s">
        <v>60</v>
      </c>
      <c r="B50" s="16" t="s">
        <v>1012</v>
      </c>
      <c r="C50" s="59"/>
    </row>
    <row r="51">
      <c r="A51" s="16" t="s">
        <v>182</v>
      </c>
      <c r="B51" s="16" t="s">
        <v>1014</v>
      </c>
      <c r="C51" s="59"/>
    </row>
    <row r="52">
      <c r="A52" s="16" t="s">
        <v>95</v>
      </c>
      <c r="B52" s="16" t="s">
        <v>1017</v>
      </c>
      <c r="C52" s="59"/>
    </row>
    <row r="53">
      <c r="A53" s="16" t="s">
        <v>77</v>
      </c>
      <c r="B53" s="16" t="s">
        <v>1019</v>
      </c>
      <c r="C53" s="59"/>
    </row>
    <row r="54">
      <c r="A54" s="16" t="s">
        <v>44</v>
      </c>
      <c r="B54" s="16" t="s">
        <v>1018</v>
      </c>
      <c r="C54" s="59"/>
    </row>
    <row r="55">
      <c r="A55" s="16" t="s">
        <v>148</v>
      </c>
      <c r="B55" s="16" t="s">
        <v>1013</v>
      </c>
      <c r="C55" s="59"/>
    </row>
    <row r="56">
      <c r="A56" s="16" t="s">
        <v>112</v>
      </c>
      <c r="B56" s="16" t="s">
        <v>1016</v>
      </c>
      <c r="C56" s="59"/>
    </row>
    <row r="57">
      <c r="A57" s="16" t="s">
        <v>1020</v>
      </c>
      <c r="B57" s="16" t="s">
        <v>1016</v>
      </c>
      <c r="C57" s="59"/>
    </row>
    <row r="58">
      <c r="A58" s="16" t="s">
        <v>766</v>
      </c>
      <c r="B58" s="16" t="s">
        <v>1013</v>
      </c>
      <c r="C58" s="59"/>
    </row>
    <row r="59">
      <c r="A59" s="16" t="s">
        <v>843</v>
      </c>
      <c r="B59" s="16" t="s">
        <v>1014</v>
      </c>
      <c r="C59" s="59"/>
    </row>
    <row r="60">
      <c r="A60" s="16" t="s">
        <v>934</v>
      </c>
      <c r="B60" s="16" t="s">
        <v>1019</v>
      </c>
      <c r="C60" s="59"/>
    </row>
    <row r="61">
      <c r="A61" s="16" t="s">
        <v>716</v>
      </c>
      <c r="B61" s="16" t="s">
        <v>1015</v>
      </c>
      <c r="C61" s="59"/>
    </row>
    <row r="62">
      <c r="A62" s="16" t="s">
        <v>830</v>
      </c>
      <c r="B62" s="16" t="s">
        <v>1018</v>
      </c>
      <c r="C62" s="59"/>
    </row>
    <row r="63">
      <c r="A63" s="16" t="s">
        <v>711</v>
      </c>
      <c r="B63" s="16" t="s">
        <v>1012</v>
      </c>
      <c r="C63" s="59"/>
    </row>
    <row r="64">
      <c r="A64" s="16" t="s">
        <v>1003</v>
      </c>
      <c r="B64" s="16" t="s">
        <v>1019</v>
      </c>
      <c r="C64" s="59"/>
    </row>
    <row r="65">
      <c r="A65" s="16" t="s">
        <v>778</v>
      </c>
      <c r="B65" s="16" t="s">
        <v>1014</v>
      </c>
      <c r="C65" s="59"/>
    </row>
    <row r="66">
      <c r="A66" s="16" t="s">
        <v>23</v>
      </c>
      <c r="B66" s="16" t="s">
        <v>1012</v>
      </c>
      <c r="C66" s="59"/>
    </row>
    <row r="67">
      <c r="A67" s="16" t="s">
        <v>59</v>
      </c>
      <c r="B67" s="16" t="s">
        <v>1017</v>
      </c>
      <c r="C67" s="59"/>
    </row>
    <row r="68">
      <c r="A68" s="16" t="s">
        <v>66</v>
      </c>
      <c r="B68" s="16" t="s">
        <v>1017</v>
      </c>
      <c r="C68" s="59"/>
    </row>
    <row r="69">
      <c r="A69" s="16" t="s">
        <v>48</v>
      </c>
      <c r="B69" s="16" t="s">
        <v>1016</v>
      </c>
      <c r="C69" s="59"/>
    </row>
    <row r="70">
      <c r="A70" s="16" t="s">
        <v>221</v>
      </c>
      <c r="B70" s="16" t="s">
        <v>1018</v>
      </c>
      <c r="C70" s="59"/>
    </row>
    <row r="71">
      <c r="A71" s="16" t="s">
        <v>94</v>
      </c>
      <c r="B71" s="16" t="s">
        <v>1014</v>
      </c>
      <c r="C71" s="59"/>
    </row>
    <row r="72">
      <c r="A72" s="16" t="s">
        <v>127</v>
      </c>
      <c r="B72" s="16" t="s">
        <v>1018</v>
      </c>
      <c r="C72" s="59"/>
    </row>
    <row r="73">
      <c r="A73" s="16" t="s">
        <v>123</v>
      </c>
      <c r="B73" s="16" t="s">
        <v>1012</v>
      </c>
      <c r="C73" s="59"/>
    </row>
    <row r="74">
      <c r="A74" s="16" t="s">
        <v>37</v>
      </c>
      <c r="B74" s="16" t="s">
        <v>1012</v>
      </c>
      <c r="C74" s="59"/>
    </row>
    <row r="75">
      <c r="A75" s="16" t="s">
        <v>102</v>
      </c>
      <c r="B75" s="16" t="s">
        <v>1014</v>
      </c>
      <c r="C75" s="59"/>
    </row>
    <row r="76">
      <c r="A76" s="16" t="s">
        <v>58</v>
      </c>
      <c r="B76" s="16" t="s">
        <v>1017</v>
      </c>
      <c r="C76" s="59"/>
    </row>
    <row r="77">
      <c r="A77" s="16" t="s">
        <v>159</v>
      </c>
      <c r="B77" s="16" t="s">
        <v>1019</v>
      </c>
      <c r="C77" s="59"/>
    </row>
    <row r="78">
      <c r="A78" s="16" t="s">
        <v>49</v>
      </c>
      <c r="B78" s="16" t="s">
        <v>1018</v>
      </c>
      <c r="C78" s="59"/>
    </row>
    <row r="79">
      <c r="A79" s="16" t="s">
        <v>135</v>
      </c>
      <c r="B79" s="16" t="s">
        <v>1017</v>
      </c>
      <c r="C79" s="59"/>
    </row>
    <row r="80">
      <c r="A80" s="16" t="s">
        <v>165</v>
      </c>
      <c r="B80" s="16" t="s">
        <v>1014</v>
      </c>
      <c r="C80" s="59"/>
    </row>
    <row r="81">
      <c r="A81" s="16" t="s">
        <v>67</v>
      </c>
      <c r="B81" s="16" t="s">
        <v>1015</v>
      </c>
      <c r="C81" s="59"/>
    </row>
    <row r="82">
      <c r="A82" s="16" t="s">
        <v>47</v>
      </c>
      <c r="B82" s="16" t="s">
        <v>1013</v>
      </c>
      <c r="C82" s="59"/>
    </row>
    <row r="83">
      <c r="A83" s="16" t="s">
        <v>82</v>
      </c>
      <c r="B83" s="16" t="s">
        <v>1012</v>
      </c>
      <c r="C83" s="59"/>
    </row>
    <row r="84">
      <c r="A84" s="16" t="s">
        <v>54</v>
      </c>
      <c r="B84" s="16" t="s">
        <v>1017</v>
      </c>
      <c r="C84" s="59"/>
    </row>
    <row r="85">
      <c r="A85" s="16" t="s">
        <v>26</v>
      </c>
      <c r="B85" s="16" t="s">
        <v>1015</v>
      </c>
      <c r="C85" s="59"/>
    </row>
    <row r="86">
      <c r="A86" s="16" t="s">
        <v>109</v>
      </c>
      <c r="B86" s="16" t="s">
        <v>1018</v>
      </c>
      <c r="C86" s="59"/>
    </row>
    <row r="87">
      <c r="A87" s="16" t="s">
        <v>62</v>
      </c>
      <c r="B87" s="16" t="s">
        <v>1012</v>
      </c>
      <c r="C87" s="59"/>
    </row>
    <row r="88">
      <c r="A88" s="16" t="s">
        <v>198</v>
      </c>
      <c r="B88" s="16" t="s">
        <v>1019</v>
      </c>
      <c r="C88" s="59"/>
    </row>
    <row r="89">
      <c r="A89" s="16" t="s">
        <v>84</v>
      </c>
      <c r="B89" s="16" t="s">
        <v>1018</v>
      </c>
      <c r="C89" s="59"/>
    </row>
    <row r="90">
      <c r="A90" s="16" t="s">
        <v>73</v>
      </c>
      <c r="B90" s="16" t="s">
        <v>1019</v>
      </c>
      <c r="C90" s="59"/>
    </row>
    <row r="91">
      <c r="A91" s="16" t="s">
        <v>130</v>
      </c>
      <c r="B91" s="16" t="s">
        <v>1012</v>
      </c>
      <c r="C91" s="59"/>
    </row>
    <row r="92">
      <c r="A92" s="16" t="s">
        <v>150</v>
      </c>
      <c r="B92" s="16" t="s">
        <v>1019</v>
      </c>
      <c r="C92" s="59"/>
    </row>
    <row r="93">
      <c r="A93" s="16" t="s">
        <v>68</v>
      </c>
      <c r="B93" s="16" t="s">
        <v>1014</v>
      </c>
      <c r="C93" s="59"/>
    </row>
    <row r="94">
      <c r="A94" s="16" t="s">
        <v>36</v>
      </c>
      <c r="B94" s="16" t="s">
        <v>1016</v>
      </c>
      <c r="C94" s="59"/>
    </row>
    <row r="95">
      <c r="A95" s="16" t="s">
        <v>43</v>
      </c>
      <c r="B95" s="16" t="s">
        <v>1016</v>
      </c>
      <c r="C95" s="59"/>
    </row>
    <row r="96">
      <c r="A96" s="16" t="s">
        <v>156</v>
      </c>
      <c r="B96" s="16" t="s">
        <v>1014</v>
      </c>
      <c r="C96" s="59"/>
    </row>
    <row r="97">
      <c r="A97" s="16" t="s">
        <v>129</v>
      </c>
      <c r="B97" s="16" t="s">
        <v>1013</v>
      </c>
      <c r="C97" s="59"/>
    </row>
    <row r="98">
      <c r="A98" s="16" t="s">
        <v>773</v>
      </c>
      <c r="B98" s="16" t="s">
        <v>1012</v>
      </c>
      <c r="C98" s="59"/>
    </row>
    <row r="99">
      <c r="A99" s="16" t="s">
        <v>785</v>
      </c>
      <c r="B99" s="16" t="s">
        <v>1014</v>
      </c>
      <c r="C99" s="59"/>
    </row>
    <row r="100">
      <c r="A100" s="16" t="s">
        <v>1021</v>
      </c>
      <c r="B100" s="16" t="s">
        <v>1019</v>
      </c>
      <c r="C100" s="59"/>
    </row>
    <row r="101">
      <c r="A101" s="16" t="s">
        <v>922</v>
      </c>
      <c r="B101" s="16" t="s">
        <v>1015</v>
      </c>
      <c r="C101" s="59"/>
    </row>
    <row r="102">
      <c r="A102" s="16" t="s">
        <v>954</v>
      </c>
      <c r="B102" s="16" t="s">
        <v>1018</v>
      </c>
      <c r="C102" s="59"/>
    </row>
    <row r="103">
      <c r="A103" s="16" t="s">
        <v>722</v>
      </c>
      <c r="B103" s="16" t="s">
        <v>1014</v>
      </c>
      <c r="C103" s="59"/>
    </row>
    <row r="104">
      <c r="A104" s="16" t="s">
        <v>797</v>
      </c>
      <c r="B104" s="16" t="s">
        <v>1016</v>
      </c>
      <c r="C104" s="59"/>
    </row>
    <row r="105">
      <c r="A105" s="16" t="s">
        <v>900</v>
      </c>
      <c r="B105" s="16" t="s">
        <v>1012</v>
      </c>
      <c r="C105" s="59"/>
    </row>
    <row r="106">
      <c r="A106" s="16" t="s">
        <v>708</v>
      </c>
      <c r="B106" s="16" t="s">
        <v>1012</v>
      </c>
      <c r="C106" s="59"/>
    </row>
    <row r="107">
      <c r="A107" s="16" t="s">
        <v>800</v>
      </c>
      <c r="B107" s="16" t="s">
        <v>1017</v>
      </c>
      <c r="C107" s="59"/>
    </row>
    <row r="108">
      <c r="A108" s="16" t="s">
        <v>748</v>
      </c>
      <c r="B108" s="16" t="s">
        <v>1015</v>
      </c>
      <c r="C108" s="59"/>
    </row>
    <row r="109">
      <c r="A109" s="16" t="s">
        <v>757</v>
      </c>
      <c r="B109" s="16" t="s">
        <v>1015</v>
      </c>
      <c r="C109" s="59"/>
    </row>
    <row r="110">
      <c r="A110" s="16" t="s">
        <v>682</v>
      </c>
      <c r="B110" s="16" t="s">
        <v>1016</v>
      </c>
      <c r="C110" s="59"/>
    </row>
    <row r="111">
      <c r="A111" s="16" t="s">
        <v>877</v>
      </c>
      <c r="B111" s="16" t="s">
        <v>1012</v>
      </c>
      <c r="C111" s="59"/>
    </row>
    <row r="112">
      <c r="A112" s="16" t="s">
        <v>855</v>
      </c>
      <c r="B112" s="16" t="s">
        <v>1012</v>
      </c>
      <c r="C112" s="59"/>
    </row>
    <row r="113">
      <c r="A113" s="16" t="s">
        <v>816</v>
      </c>
      <c r="B113" s="16" t="s">
        <v>1015</v>
      </c>
      <c r="C113" s="59"/>
    </row>
    <row r="114">
      <c r="A114" s="59" t="s">
        <v>710</v>
      </c>
      <c r="B114" s="16" t="s">
        <v>1012</v>
      </c>
      <c r="C114" s="59"/>
    </row>
    <row r="115">
      <c r="A115" s="59" t="s">
        <v>1022</v>
      </c>
      <c r="B115" s="16" t="s">
        <v>1012</v>
      </c>
      <c r="C115" s="59"/>
    </row>
    <row r="116">
      <c r="A116" s="59" t="s">
        <v>718</v>
      </c>
      <c r="B116" s="16" t="s">
        <v>1015</v>
      </c>
      <c r="C116" s="59"/>
    </row>
    <row r="117">
      <c r="A117" s="59" t="s">
        <v>789</v>
      </c>
      <c r="B117" s="16" t="s">
        <v>1019</v>
      </c>
      <c r="C117" s="59"/>
    </row>
    <row r="118">
      <c r="A118" s="59" t="s">
        <v>988</v>
      </c>
      <c r="B118" s="16" t="s">
        <v>1018</v>
      </c>
      <c r="C118" s="59"/>
    </row>
    <row r="119">
      <c r="A119" s="59" t="s">
        <v>726</v>
      </c>
      <c r="B119" s="16" t="s">
        <v>1012</v>
      </c>
      <c r="C119" s="59"/>
    </row>
    <row r="120">
      <c r="A120" s="59" t="s">
        <v>848</v>
      </c>
      <c r="B120" s="16" t="s">
        <v>1015</v>
      </c>
      <c r="C120" s="59"/>
    </row>
    <row r="121">
      <c r="A121" s="59" t="s">
        <v>817</v>
      </c>
      <c r="B121" s="16" t="s">
        <v>1018</v>
      </c>
      <c r="C121" s="59"/>
    </row>
    <row r="122">
      <c r="A122" s="59" t="s">
        <v>13</v>
      </c>
      <c r="B122" s="16" t="s">
        <v>1012</v>
      </c>
      <c r="C122" s="59"/>
    </row>
    <row r="123">
      <c r="A123" s="59" t="s">
        <v>33</v>
      </c>
      <c r="B123" s="16" t="s">
        <v>1017</v>
      </c>
      <c r="C123" s="59"/>
    </row>
    <row r="124">
      <c r="A124" s="59" t="s">
        <v>167</v>
      </c>
      <c r="B124" s="16" t="s">
        <v>1014</v>
      </c>
      <c r="C124" s="59"/>
    </row>
    <row r="125">
      <c r="A125" s="59" t="s">
        <v>83</v>
      </c>
      <c r="B125" s="16" t="s">
        <v>1015</v>
      </c>
      <c r="C125" s="59"/>
    </row>
    <row r="126">
      <c r="A126" s="59" t="s">
        <v>120</v>
      </c>
      <c r="B126" s="16" t="s">
        <v>1018</v>
      </c>
      <c r="C126" s="59"/>
    </row>
    <row r="127">
      <c r="A127" s="59" t="s">
        <v>100</v>
      </c>
      <c r="B127" s="16" t="s">
        <v>1013</v>
      </c>
      <c r="C127" s="59"/>
    </row>
    <row r="128">
      <c r="A128" s="59" t="s">
        <v>151</v>
      </c>
      <c r="B128" s="16" t="s">
        <v>1014</v>
      </c>
      <c r="C128" s="59"/>
    </row>
    <row r="129">
      <c r="A129" s="59" t="s">
        <v>121</v>
      </c>
      <c r="B129" s="16" t="s">
        <v>1018</v>
      </c>
      <c r="C129" s="59"/>
    </row>
    <row r="130">
      <c r="A130" s="59" t="s">
        <v>766</v>
      </c>
      <c r="B130" s="16" t="s">
        <v>1013</v>
      </c>
      <c r="C130" s="59"/>
    </row>
    <row r="131">
      <c r="A131" s="59" t="s">
        <v>843</v>
      </c>
      <c r="B131" s="16" t="s">
        <v>1014</v>
      </c>
      <c r="C131" s="59"/>
    </row>
    <row r="132">
      <c r="A132" s="59" t="s">
        <v>934</v>
      </c>
      <c r="B132" s="16" t="s">
        <v>1019</v>
      </c>
      <c r="C132" s="59"/>
    </row>
    <row r="133">
      <c r="A133" s="59" t="s">
        <v>716</v>
      </c>
      <c r="B133" s="16" t="s">
        <v>1015</v>
      </c>
      <c r="C133" s="59"/>
    </row>
    <row r="134">
      <c r="A134" s="59" t="s">
        <v>979</v>
      </c>
      <c r="B134" s="16" t="s">
        <v>1015</v>
      </c>
      <c r="C134" s="59"/>
    </row>
    <row r="135">
      <c r="A135" s="59" t="s">
        <v>830</v>
      </c>
      <c r="B135" s="16" t="s">
        <v>1018</v>
      </c>
      <c r="C135" s="59"/>
    </row>
    <row r="136">
      <c r="A136" s="59" t="s">
        <v>711</v>
      </c>
      <c r="B136" s="16" t="s">
        <v>1012</v>
      </c>
      <c r="C136" s="59"/>
    </row>
    <row r="137">
      <c r="A137" s="59" t="s">
        <v>778</v>
      </c>
      <c r="B137" s="16" t="s">
        <v>1014</v>
      </c>
      <c r="C137" s="59"/>
    </row>
    <row r="138">
      <c r="A138" s="59" t="s">
        <v>708</v>
      </c>
      <c r="B138" s="16" t="s">
        <v>1012</v>
      </c>
      <c r="C138" s="59"/>
    </row>
    <row r="139">
      <c r="A139" s="59" t="s">
        <v>800</v>
      </c>
      <c r="B139" s="16" t="s">
        <v>1017</v>
      </c>
      <c r="C139" s="59"/>
    </row>
    <row r="140">
      <c r="A140" s="60" t="s">
        <v>748</v>
      </c>
      <c r="B140" s="16" t="s">
        <v>1015</v>
      </c>
      <c r="C140" s="59"/>
    </row>
    <row r="141">
      <c r="A141" s="59" t="s">
        <v>757</v>
      </c>
      <c r="B141" s="16" t="s">
        <v>1015</v>
      </c>
      <c r="C141" s="59"/>
    </row>
    <row r="142">
      <c r="A142" s="59" t="s">
        <v>682</v>
      </c>
      <c r="B142" s="16" t="s">
        <v>1016</v>
      </c>
      <c r="C142" s="59"/>
    </row>
    <row r="143">
      <c r="A143" s="59" t="s">
        <v>816</v>
      </c>
      <c r="B143" s="16" t="s">
        <v>1015</v>
      </c>
      <c r="C143" s="59"/>
    </row>
    <row r="144">
      <c r="A144" s="59" t="s">
        <v>1023</v>
      </c>
      <c r="B144" s="16" t="s">
        <v>1012</v>
      </c>
      <c r="C144" s="59"/>
    </row>
    <row r="145">
      <c r="A145" s="59" t="s">
        <v>836</v>
      </c>
      <c r="B145" s="16" t="s">
        <v>1016</v>
      </c>
      <c r="C145" s="59"/>
    </row>
    <row r="146">
      <c r="A146" s="59" t="s">
        <v>773</v>
      </c>
      <c r="B146" s="16" t="s">
        <v>1012</v>
      </c>
      <c r="C146" s="59"/>
    </row>
    <row r="147">
      <c r="A147" s="59" t="s">
        <v>785</v>
      </c>
      <c r="B147" s="16" t="s">
        <v>1014</v>
      </c>
      <c r="C147" s="59"/>
    </row>
    <row r="148">
      <c r="A148" s="59" t="s">
        <v>935</v>
      </c>
      <c r="B148" s="16" t="s">
        <v>1019</v>
      </c>
      <c r="C148" s="59"/>
    </row>
    <row r="149">
      <c r="A149" s="59" t="s">
        <v>922</v>
      </c>
      <c r="B149" s="16" t="s">
        <v>1015</v>
      </c>
      <c r="C149" s="59"/>
    </row>
    <row r="150">
      <c r="A150" s="59" t="s">
        <v>954</v>
      </c>
      <c r="B150" s="16" t="s">
        <v>1018</v>
      </c>
      <c r="C150" s="59"/>
    </row>
    <row r="151">
      <c r="A151" s="59" t="s">
        <v>722</v>
      </c>
      <c r="B151" s="16" t="s">
        <v>1014</v>
      </c>
      <c r="C151" s="59"/>
    </row>
    <row r="152">
      <c r="A152" s="59" t="s">
        <v>1024</v>
      </c>
      <c r="B152" s="16" t="s">
        <v>1016</v>
      </c>
      <c r="C152" s="59"/>
    </row>
    <row r="153">
      <c r="A153" s="59" t="s">
        <v>1025</v>
      </c>
      <c r="B153" s="16" t="s">
        <v>1019</v>
      </c>
      <c r="C153" s="59"/>
    </row>
    <row r="154">
      <c r="A154" s="59" t="s">
        <v>782</v>
      </c>
      <c r="B154" s="16" t="s">
        <v>1012</v>
      </c>
      <c r="C154" s="59"/>
    </row>
    <row r="155">
      <c r="A155" s="59" t="s">
        <v>680</v>
      </c>
      <c r="B155" s="16" t="s">
        <v>1015</v>
      </c>
      <c r="C155" s="59"/>
    </row>
    <row r="156">
      <c r="A156" s="59" t="s">
        <v>689</v>
      </c>
      <c r="B156" s="16" t="s">
        <v>1015</v>
      </c>
      <c r="C156" s="59"/>
    </row>
    <row r="157">
      <c r="A157" s="59" t="s">
        <v>784</v>
      </c>
      <c r="B157" s="16" t="s">
        <v>1019</v>
      </c>
      <c r="C157" s="59"/>
    </row>
    <row r="158">
      <c r="A158" s="59" t="s">
        <v>906</v>
      </c>
      <c r="B158" s="16" t="s">
        <v>1018</v>
      </c>
      <c r="C158" s="59"/>
    </row>
    <row r="159">
      <c r="A159" s="59" t="s">
        <v>920</v>
      </c>
      <c r="B159" s="16" t="s">
        <v>1012</v>
      </c>
      <c r="C159" s="59"/>
    </row>
    <row r="160">
      <c r="A160" s="59" t="s">
        <v>859</v>
      </c>
      <c r="B160" s="16" t="s">
        <v>1017</v>
      </c>
      <c r="C160" s="59"/>
    </row>
    <row r="161">
      <c r="A161" s="59" t="s">
        <v>978</v>
      </c>
      <c r="B161" s="16" t="s">
        <v>1019</v>
      </c>
      <c r="C161" s="59"/>
    </row>
    <row r="162">
      <c r="A162" s="59" t="s">
        <v>37</v>
      </c>
      <c r="B162" s="16" t="s">
        <v>1012</v>
      </c>
      <c r="C162" s="59"/>
    </row>
    <row r="163">
      <c r="A163" s="59" t="s">
        <v>58</v>
      </c>
      <c r="B163" s="16" t="s">
        <v>1017</v>
      </c>
      <c r="C163" s="59"/>
    </row>
    <row r="164">
      <c r="A164" s="59" t="s">
        <v>165</v>
      </c>
      <c r="B164" s="16" t="s">
        <v>1014</v>
      </c>
      <c r="C164" s="59"/>
    </row>
    <row r="165">
      <c r="A165" s="59" t="s">
        <v>65</v>
      </c>
      <c r="B165" s="16" t="s">
        <v>1016</v>
      </c>
      <c r="C165" s="59"/>
    </row>
    <row r="166">
      <c r="A166" s="59" t="s">
        <v>49</v>
      </c>
      <c r="B166" s="16" t="s">
        <v>1018</v>
      </c>
      <c r="C166" s="59"/>
    </row>
    <row r="167">
      <c r="A167" s="59" t="s">
        <v>102</v>
      </c>
      <c r="B167" s="16" t="s">
        <v>1014</v>
      </c>
      <c r="C167" s="59"/>
    </row>
    <row r="168">
      <c r="A168" s="59" t="s">
        <v>1026</v>
      </c>
      <c r="B168" s="16" t="s">
        <v>1019</v>
      </c>
      <c r="C168" s="59"/>
    </row>
    <row r="169">
      <c r="A169" s="59" t="s">
        <v>67</v>
      </c>
      <c r="B169" s="16" t="s">
        <v>1015</v>
      </c>
      <c r="C169" s="59"/>
    </row>
    <row r="170">
      <c r="A170" s="59" t="s">
        <v>737</v>
      </c>
      <c r="B170" s="16" t="s">
        <v>1013</v>
      </c>
      <c r="C170" s="59"/>
    </row>
    <row r="171">
      <c r="A171" s="59" t="s">
        <v>673</v>
      </c>
      <c r="B171" s="16" t="s">
        <v>1017</v>
      </c>
      <c r="C171" s="59"/>
    </row>
    <row r="172">
      <c r="A172" s="59" t="s">
        <v>907</v>
      </c>
      <c r="B172" s="16" t="s">
        <v>1019</v>
      </c>
      <c r="C172" s="59"/>
    </row>
    <row r="173">
      <c r="A173" s="59" t="s">
        <v>892</v>
      </c>
      <c r="B173" s="16" t="s">
        <v>1019</v>
      </c>
      <c r="C173" s="59"/>
    </row>
    <row r="174">
      <c r="A174" s="59" t="s">
        <v>818</v>
      </c>
      <c r="B174" s="16" t="s">
        <v>1018</v>
      </c>
      <c r="C174" s="14"/>
    </row>
    <row r="175">
      <c r="A175" s="59" t="s">
        <v>791</v>
      </c>
      <c r="B175" s="16" t="s">
        <v>1013</v>
      </c>
      <c r="C175" s="14"/>
    </row>
    <row r="176">
      <c r="A176" s="59" t="s">
        <v>1027</v>
      </c>
      <c r="B176" s="16" t="s">
        <v>1019</v>
      </c>
      <c r="C176" s="14"/>
    </row>
    <row r="177">
      <c r="A177" s="59" t="s">
        <v>745</v>
      </c>
      <c r="B177" s="16" t="s">
        <v>1015</v>
      </c>
      <c r="C177" s="14"/>
    </row>
    <row r="178">
      <c r="A178" s="14" t="s">
        <v>29</v>
      </c>
      <c r="B178" s="14" t="s">
        <v>1012</v>
      </c>
      <c r="C178" s="14"/>
    </row>
    <row r="179">
      <c r="A179" s="14" t="s">
        <v>50</v>
      </c>
      <c r="B179" s="14" t="s">
        <v>1017</v>
      </c>
      <c r="C179" s="14"/>
    </row>
    <row r="180">
      <c r="A180" s="14" t="s">
        <v>85</v>
      </c>
      <c r="B180" s="14" t="s">
        <v>1014</v>
      </c>
      <c r="C180" s="14"/>
    </row>
    <row r="181">
      <c r="A181" s="14" t="s">
        <v>88</v>
      </c>
      <c r="B181" s="14" t="s">
        <v>1019</v>
      </c>
      <c r="C181" s="14"/>
    </row>
    <row r="182">
      <c r="A182" s="14" t="s">
        <v>51</v>
      </c>
      <c r="B182" s="14" t="s">
        <v>1018</v>
      </c>
      <c r="C182" s="14"/>
    </row>
    <row r="183">
      <c r="A183" s="14" t="s">
        <v>97</v>
      </c>
      <c r="B183" s="14" t="s">
        <v>1018</v>
      </c>
      <c r="C183" s="14"/>
    </row>
    <row r="184">
      <c r="A184" s="14" t="s">
        <v>103</v>
      </c>
      <c r="B184" s="61" t="s">
        <v>1015</v>
      </c>
      <c r="C184" s="14"/>
    </row>
    <row r="185">
      <c r="A185" s="14" t="s">
        <v>1028</v>
      </c>
      <c r="B185" s="61" t="s">
        <v>1015</v>
      </c>
      <c r="C185" s="14"/>
    </row>
    <row r="186">
      <c r="A186" s="14" t="s">
        <v>839</v>
      </c>
      <c r="B186" s="14" t="s">
        <v>1012</v>
      </c>
      <c r="C186" s="14"/>
    </row>
    <row r="187">
      <c r="A187" s="14" t="s">
        <v>744</v>
      </c>
      <c r="B187" s="14" t="s">
        <v>1014</v>
      </c>
      <c r="C187" s="14"/>
    </row>
    <row r="188">
      <c r="A188" s="14" t="s">
        <v>823</v>
      </c>
      <c r="B188" s="61" t="s">
        <v>1015</v>
      </c>
      <c r="C188" s="14"/>
    </row>
    <row r="189">
      <c r="A189" s="14" t="s">
        <v>692</v>
      </c>
      <c r="B189" s="61" t="s">
        <v>1015</v>
      </c>
      <c r="C189" s="14"/>
    </row>
    <row r="190">
      <c r="A190" s="14" t="s">
        <v>864</v>
      </c>
      <c r="B190" s="14" t="s">
        <v>1018</v>
      </c>
      <c r="C190" s="14"/>
    </row>
    <row r="191">
      <c r="A191" s="14" t="s">
        <v>876</v>
      </c>
      <c r="B191" s="14" t="s">
        <v>1013</v>
      </c>
      <c r="C191" s="14"/>
    </row>
    <row r="192">
      <c r="A192" s="14" t="s">
        <v>903</v>
      </c>
      <c r="B192" s="14" t="s">
        <v>1018</v>
      </c>
      <c r="C192" s="14"/>
    </row>
    <row r="193">
      <c r="A193" s="14" t="s">
        <v>755</v>
      </c>
      <c r="B193" s="14" t="s">
        <v>1012</v>
      </c>
      <c r="C193" s="14"/>
    </row>
    <row r="194">
      <c r="A194" s="14" t="s">
        <v>758</v>
      </c>
      <c r="B194" s="14" t="s">
        <v>1012</v>
      </c>
      <c r="C194" s="14"/>
    </row>
    <row r="195">
      <c r="A195" s="14" t="s">
        <v>868</v>
      </c>
      <c r="B195" s="14" t="s">
        <v>1014</v>
      </c>
      <c r="C195" s="14"/>
    </row>
    <row r="196">
      <c r="A196" s="14" t="s">
        <v>699</v>
      </c>
      <c r="B196" s="14" t="s">
        <v>1017</v>
      </c>
      <c r="C196" s="14"/>
    </row>
    <row r="197">
      <c r="A197" s="14" t="s">
        <v>901</v>
      </c>
      <c r="B197" s="14" t="s">
        <v>1019</v>
      </c>
      <c r="C197" s="14"/>
    </row>
    <row r="198">
      <c r="A198" s="14" t="s">
        <v>719</v>
      </c>
      <c r="B198" s="14" t="s">
        <v>1016</v>
      </c>
      <c r="C198" s="14"/>
    </row>
    <row r="199">
      <c r="A199" s="14" t="s">
        <v>733</v>
      </c>
      <c r="B199" s="14" t="s">
        <v>1019</v>
      </c>
      <c r="C199" s="14"/>
    </row>
    <row r="200">
      <c r="A200" s="14" t="s">
        <v>714</v>
      </c>
      <c r="B200" s="14" t="s">
        <v>1013</v>
      </c>
      <c r="C200" s="14"/>
    </row>
    <row r="201">
      <c r="A201" s="14" t="s">
        <v>808</v>
      </c>
      <c r="B201" s="14" t="s">
        <v>1013</v>
      </c>
      <c r="C201" s="14"/>
    </row>
    <row r="202">
      <c r="A202" s="14" t="s">
        <v>45</v>
      </c>
      <c r="B202" s="14" t="s">
        <v>1012</v>
      </c>
      <c r="C202" s="14"/>
    </row>
    <row r="203">
      <c r="A203" s="14" t="s">
        <v>35</v>
      </c>
      <c r="B203" s="14" t="s">
        <v>1017</v>
      </c>
      <c r="C203" s="14"/>
    </row>
    <row r="204">
      <c r="A204" s="14" t="s">
        <v>122</v>
      </c>
      <c r="B204" s="14" t="s">
        <v>1014</v>
      </c>
      <c r="C204" s="14"/>
    </row>
    <row r="205">
      <c r="A205" s="14" t="s">
        <v>20</v>
      </c>
      <c r="B205" s="14" t="s">
        <v>1018</v>
      </c>
      <c r="C205" s="14"/>
    </row>
    <row r="206">
      <c r="A206" s="14" t="s">
        <v>78</v>
      </c>
      <c r="B206" s="14" t="s">
        <v>1016</v>
      </c>
      <c r="C206" s="14"/>
    </row>
    <row r="207">
      <c r="A207" s="14" t="s">
        <v>70</v>
      </c>
      <c r="B207" s="14" t="s">
        <v>1013</v>
      </c>
      <c r="C207" s="14"/>
    </row>
    <row r="208">
      <c r="A208" s="14" t="s">
        <v>131</v>
      </c>
      <c r="B208" s="14" t="s">
        <v>1014</v>
      </c>
      <c r="C208" s="14"/>
    </row>
    <row r="209">
      <c r="A209" s="14" t="s">
        <v>119</v>
      </c>
      <c r="B209" s="14" t="s">
        <v>1013</v>
      </c>
      <c r="C209" s="14"/>
    </row>
    <row r="210">
      <c r="A210" s="14" t="s">
        <v>155</v>
      </c>
      <c r="B210" s="14" t="s">
        <v>1012</v>
      </c>
      <c r="C210" s="14"/>
    </row>
    <row r="211">
      <c r="A211" s="14" t="s">
        <v>1029</v>
      </c>
      <c r="B211" s="14" t="s">
        <v>1019</v>
      </c>
      <c r="C211" s="14"/>
    </row>
    <row r="212">
      <c r="A212" s="14" t="s">
        <v>1030</v>
      </c>
      <c r="B212" s="14" t="s">
        <v>1019</v>
      </c>
      <c r="C212" s="14"/>
    </row>
    <row r="213">
      <c r="A213" s="14" t="s">
        <v>68</v>
      </c>
      <c r="B213" s="14" t="s">
        <v>1014</v>
      </c>
      <c r="C213" s="14"/>
    </row>
    <row r="214">
      <c r="A214" s="14" t="s">
        <v>36</v>
      </c>
      <c r="B214" s="14" t="s">
        <v>1016</v>
      </c>
      <c r="C214" s="14"/>
    </row>
    <row r="215">
      <c r="A215" s="14" t="s">
        <v>43</v>
      </c>
      <c r="B215" s="14" t="s">
        <v>1016</v>
      </c>
      <c r="C215" s="14"/>
    </row>
    <row r="216">
      <c r="A216" s="14" t="s">
        <v>129</v>
      </c>
      <c r="B216" s="14" t="s">
        <v>1013</v>
      </c>
      <c r="C216" s="14"/>
    </row>
    <row r="217">
      <c r="A217" s="14" t="s">
        <v>130</v>
      </c>
      <c r="B217" s="14" t="s">
        <v>1012</v>
      </c>
      <c r="C217" s="14"/>
    </row>
    <row r="218">
      <c r="A218" s="14" t="s">
        <v>687</v>
      </c>
      <c r="B218" s="14" t="s">
        <v>1012</v>
      </c>
      <c r="C218" s="14"/>
    </row>
    <row r="219">
      <c r="A219" s="14" t="s">
        <v>678</v>
      </c>
      <c r="B219" s="14" t="s">
        <v>1012</v>
      </c>
      <c r="C219" s="14"/>
    </row>
    <row r="220">
      <c r="A220" s="14" t="s">
        <v>886</v>
      </c>
      <c r="B220" s="14" t="s">
        <v>1013</v>
      </c>
      <c r="C220" s="14"/>
    </row>
    <row r="221">
      <c r="A221" s="14" t="s">
        <v>881</v>
      </c>
      <c r="B221" s="14" t="s">
        <v>1014</v>
      </c>
      <c r="C221" s="14"/>
    </row>
    <row r="222">
      <c r="A222" s="14" t="s">
        <v>955</v>
      </c>
      <c r="B222" s="14" t="s">
        <v>1018</v>
      </c>
      <c r="C222" s="14"/>
    </row>
    <row r="223">
      <c r="A223" s="14" t="s">
        <v>795</v>
      </c>
      <c r="B223" s="14" t="s">
        <v>1016</v>
      </c>
      <c r="C223" s="14"/>
    </row>
    <row r="224">
      <c r="A224" s="14" t="s">
        <v>899</v>
      </c>
      <c r="B224" s="61" t="s">
        <v>1015</v>
      </c>
      <c r="C224" s="14"/>
    </row>
    <row r="225">
      <c r="A225" s="14" t="s">
        <v>853</v>
      </c>
      <c r="B225" s="14" t="s">
        <v>1014</v>
      </c>
      <c r="C225" s="14"/>
    </row>
    <row r="226">
      <c r="A226" s="14" t="s">
        <v>672</v>
      </c>
      <c r="B226" s="14" t="s">
        <v>1012</v>
      </c>
      <c r="C226" s="14"/>
    </row>
    <row r="227">
      <c r="A227" s="14" t="s">
        <v>820</v>
      </c>
      <c r="B227" s="14" t="s">
        <v>1017</v>
      </c>
      <c r="C227" s="14"/>
    </row>
    <row r="228">
      <c r="A228" s="14" t="s">
        <v>968</v>
      </c>
      <c r="B228" s="14" t="s">
        <v>1019</v>
      </c>
      <c r="C228" s="14"/>
    </row>
    <row r="229">
      <c r="A229" s="14" t="s">
        <v>995</v>
      </c>
      <c r="B229" s="14" t="s">
        <v>1016</v>
      </c>
      <c r="C229" s="14"/>
    </row>
    <row r="230">
      <c r="A230" s="14" t="s">
        <v>698</v>
      </c>
      <c r="B230" s="14" t="s">
        <v>1016</v>
      </c>
      <c r="C230" s="14"/>
    </row>
    <row r="231">
      <c r="A231" s="14" t="s">
        <v>1031</v>
      </c>
      <c r="B231" s="14" t="s">
        <v>1014</v>
      </c>
      <c r="C231" s="14"/>
    </row>
    <row r="232">
      <c r="A232" s="14" t="s">
        <v>777</v>
      </c>
      <c r="B232" s="14" t="s">
        <v>1013</v>
      </c>
      <c r="C232" s="14"/>
    </row>
    <row r="233">
      <c r="A233" s="14" t="s">
        <v>945</v>
      </c>
      <c r="B233" s="14" t="s">
        <v>1016</v>
      </c>
      <c r="C233" s="14"/>
    </row>
    <row r="234">
      <c r="A234" s="14" t="s">
        <v>700</v>
      </c>
      <c r="B234" s="14" t="s">
        <v>1012</v>
      </c>
      <c r="C234" s="14"/>
    </row>
    <row r="235">
      <c r="A235" s="14" t="s">
        <v>819</v>
      </c>
      <c r="B235" s="14" t="s">
        <v>1012</v>
      </c>
      <c r="C235" s="14"/>
    </row>
    <row r="236">
      <c r="A236" s="14" t="s">
        <v>684</v>
      </c>
      <c r="B236" s="14" t="s">
        <v>1017</v>
      </c>
      <c r="C236" s="14"/>
    </row>
    <row r="237">
      <c r="A237" s="14" t="s">
        <v>679</v>
      </c>
      <c r="B237" s="61" t="s">
        <v>1015</v>
      </c>
      <c r="C237" s="14"/>
    </row>
    <row r="238">
      <c r="A238" s="14" t="s">
        <v>1032</v>
      </c>
      <c r="B238" s="14" t="s">
        <v>1018</v>
      </c>
      <c r="C238" s="14"/>
    </row>
    <row r="239">
      <c r="A239" s="14" t="s">
        <v>735</v>
      </c>
      <c r="B239" s="14" t="s">
        <v>1014</v>
      </c>
      <c r="C239" s="14"/>
    </row>
    <row r="240">
      <c r="A240" s="14" t="s">
        <v>972</v>
      </c>
      <c r="B240" s="61" t="s">
        <v>1015</v>
      </c>
      <c r="C240" s="14"/>
    </row>
    <row r="241">
      <c r="A241" s="14" t="s">
        <v>872</v>
      </c>
      <c r="B241" s="14" t="s">
        <v>1012</v>
      </c>
      <c r="C241" s="14"/>
    </row>
    <row r="242">
      <c r="A242" s="14" t="s">
        <v>752</v>
      </c>
      <c r="B242" s="14" t="s">
        <v>1012</v>
      </c>
      <c r="C242" s="14"/>
    </row>
    <row r="243">
      <c r="A243" s="14" t="s">
        <v>713</v>
      </c>
      <c r="B243" s="14" t="s">
        <v>1012</v>
      </c>
      <c r="C243" s="14"/>
    </row>
    <row r="244">
      <c r="A244" s="14" t="s">
        <v>1033</v>
      </c>
      <c r="B244" s="14" t="s">
        <v>1014</v>
      </c>
      <c r="C244" s="14"/>
    </row>
    <row r="245">
      <c r="A245" s="14" t="s">
        <v>786</v>
      </c>
      <c r="B245" s="14" t="s">
        <v>1019</v>
      </c>
      <c r="C245" s="14"/>
    </row>
    <row r="246">
      <c r="A246" s="14" t="s">
        <v>697</v>
      </c>
      <c r="B246" s="61" t="s">
        <v>1015</v>
      </c>
      <c r="C246" s="14"/>
    </row>
    <row r="247">
      <c r="A247" s="14" t="s">
        <v>763</v>
      </c>
      <c r="B247" s="14" t="s">
        <v>1018</v>
      </c>
      <c r="C247" s="14"/>
    </row>
    <row r="248">
      <c r="A248" s="14" t="s">
        <v>929</v>
      </c>
      <c r="B248" s="14" t="s">
        <v>1014</v>
      </c>
      <c r="C248" s="14"/>
    </row>
    <row r="249">
      <c r="A249" s="14" t="s">
        <v>834</v>
      </c>
      <c r="B249" s="14" t="s">
        <v>1012</v>
      </c>
      <c r="C249" s="14"/>
    </row>
    <row r="250">
      <c r="A250" s="14" t="s">
        <v>801</v>
      </c>
      <c r="B250" s="14" t="s">
        <v>1013</v>
      </c>
      <c r="C250" s="14"/>
    </row>
    <row r="251">
      <c r="A251" s="14" t="s">
        <v>799</v>
      </c>
      <c r="B251" s="14" t="s">
        <v>1019</v>
      </c>
      <c r="C251" s="14"/>
    </row>
    <row r="252">
      <c r="A252" s="14" t="s">
        <v>780</v>
      </c>
      <c r="B252" s="14" t="s">
        <v>1016</v>
      </c>
      <c r="C252" s="14"/>
    </row>
    <row r="253">
      <c r="A253" s="14" t="s">
        <v>840</v>
      </c>
      <c r="B253" s="14" t="s">
        <v>1016</v>
      </c>
      <c r="C253" s="14"/>
    </row>
    <row r="254">
      <c r="A254" s="14" t="s">
        <v>885</v>
      </c>
      <c r="B254" s="14" t="s">
        <v>1018</v>
      </c>
      <c r="C254" s="14"/>
    </row>
    <row r="255">
      <c r="A255" s="14" t="s">
        <v>814</v>
      </c>
      <c r="B255" s="14" t="s">
        <v>1013</v>
      </c>
      <c r="C255" s="14"/>
    </row>
    <row r="256">
      <c r="A256" s="14" t="s">
        <v>908</v>
      </c>
      <c r="B256" s="61" t="s">
        <v>1015</v>
      </c>
      <c r="C256" s="14"/>
    </row>
    <row r="257">
      <c r="A257" s="14" t="s">
        <v>863</v>
      </c>
      <c r="B257" s="14" t="s">
        <v>1017</v>
      </c>
      <c r="C257" s="14"/>
    </row>
    <row r="258">
      <c r="A258" s="14" t="s">
        <v>731</v>
      </c>
      <c r="B258" s="14" t="s">
        <v>1013</v>
      </c>
      <c r="C258" s="14"/>
    </row>
    <row r="259">
      <c r="A259" s="14" t="s">
        <v>727</v>
      </c>
      <c r="B259" s="14" t="s">
        <v>1017</v>
      </c>
      <c r="C259" s="14"/>
    </row>
    <row r="260">
      <c r="A260" s="14" t="s">
        <v>925</v>
      </c>
      <c r="B260" s="14" t="s">
        <v>1019</v>
      </c>
      <c r="C260" s="14"/>
    </row>
    <row r="261">
      <c r="A261" s="14" t="s">
        <v>691</v>
      </c>
      <c r="B261" s="14" t="s">
        <v>1016</v>
      </c>
      <c r="C261" s="14"/>
    </row>
    <row r="262">
      <c r="A262" s="14" t="s">
        <v>1001</v>
      </c>
      <c r="B262" s="14" t="s">
        <v>1018</v>
      </c>
      <c r="C262" s="14"/>
    </row>
    <row r="263">
      <c r="A263" s="14" t="s">
        <v>760</v>
      </c>
      <c r="B263" s="14" t="s">
        <v>1012</v>
      </c>
      <c r="C263" s="14"/>
    </row>
    <row r="264">
      <c r="A264" s="14" t="s">
        <v>702</v>
      </c>
      <c r="B264" s="14" t="s">
        <v>1012</v>
      </c>
      <c r="C264" s="14"/>
    </row>
    <row r="265">
      <c r="A265" s="14" t="s">
        <v>706</v>
      </c>
      <c r="B265" s="14" t="s">
        <v>1014</v>
      </c>
      <c r="C265" s="14"/>
    </row>
    <row r="266">
      <c r="A266" s="14" t="s">
        <v>884</v>
      </c>
      <c r="B266" s="14" t="s">
        <v>1013</v>
      </c>
      <c r="C266" s="14"/>
    </row>
    <row r="267">
      <c r="A267" s="14" t="s">
        <v>717</v>
      </c>
      <c r="B267" s="14" t="s">
        <v>1012</v>
      </c>
      <c r="C267" s="14"/>
    </row>
    <row r="268">
      <c r="A268" s="14" t="s">
        <v>695</v>
      </c>
      <c r="B268" s="14" t="s">
        <v>1017</v>
      </c>
      <c r="C268" s="14"/>
    </row>
    <row r="269">
      <c r="A269" s="14" t="s">
        <v>973</v>
      </c>
      <c r="B269" s="61" t="s">
        <v>1015</v>
      </c>
      <c r="C269" s="14"/>
    </row>
    <row r="270">
      <c r="A270" s="14" t="s">
        <v>686</v>
      </c>
      <c r="B270" s="14" t="s">
        <v>1016</v>
      </c>
      <c r="C270" s="14"/>
    </row>
    <row r="271">
      <c r="A271" s="14" t="s">
        <v>759</v>
      </c>
      <c r="B271" s="14" t="s">
        <v>1012</v>
      </c>
      <c r="C271" s="14"/>
    </row>
    <row r="272">
      <c r="A272" s="14" t="s">
        <v>952</v>
      </c>
      <c r="B272" s="14" t="s">
        <v>1012</v>
      </c>
      <c r="C272" s="14"/>
    </row>
    <row r="273">
      <c r="A273" s="14" t="s">
        <v>844</v>
      </c>
      <c r="B273" s="61" t="s">
        <v>1015</v>
      </c>
      <c r="C273" s="14"/>
    </row>
    <row r="274">
      <c r="A274" s="14" t="s">
        <v>52</v>
      </c>
      <c r="B274" s="14" t="s">
        <v>1013</v>
      </c>
      <c r="C274" s="14"/>
    </row>
    <row r="275">
      <c r="A275" s="14" t="s">
        <v>69</v>
      </c>
      <c r="B275" s="14" t="s">
        <v>1014</v>
      </c>
      <c r="C275" s="14"/>
    </row>
    <row r="276">
      <c r="A276" s="14" t="s">
        <v>72</v>
      </c>
      <c r="B276" s="14" t="s">
        <v>1014</v>
      </c>
      <c r="C276" s="14"/>
    </row>
    <row r="277">
      <c r="A277" s="14" t="s">
        <v>106</v>
      </c>
      <c r="B277" s="14" t="s">
        <v>1019</v>
      </c>
      <c r="C277" s="14"/>
    </row>
    <row r="278">
      <c r="A278" s="14" t="s">
        <v>46</v>
      </c>
      <c r="B278" s="14" t="s">
        <v>1018</v>
      </c>
      <c r="C278" s="14"/>
    </row>
    <row r="279">
      <c r="A279" s="14" t="s">
        <v>56</v>
      </c>
      <c r="B279" s="14" t="s">
        <v>1017</v>
      </c>
      <c r="C279" s="14"/>
    </row>
    <row r="280">
      <c r="A280" s="14" t="s">
        <v>161</v>
      </c>
      <c r="B280" s="14" t="s">
        <v>1018</v>
      </c>
      <c r="C280" s="14"/>
    </row>
    <row r="281">
      <c r="A281" s="14" t="s">
        <v>133</v>
      </c>
      <c r="B281" s="61" t="s">
        <v>1015</v>
      </c>
      <c r="C281" s="14"/>
    </row>
    <row r="282">
      <c r="A282" s="14" t="s">
        <v>60</v>
      </c>
      <c r="B282" s="14" t="s">
        <v>1012</v>
      </c>
      <c r="C282" s="14"/>
    </row>
    <row r="283">
      <c r="A283" s="14" t="s">
        <v>182</v>
      </c>
      <c r="B283" s="14" t="s">
        <v>1014</v>
      </c>
      <c r="C283" s="14"/>
    </row>
    <row r="284">
      <c r="A284" s="14" t="s">
        <v>95</v>
      </c>
      <c r="B284" s="14" t="s">
        <v>1017</v>
      </c>
      <c r="C284" s="14"/>
    </row>
    <row r="285">
      <c r="A285" s="14" t="s">
        <v>77</v>
      </c>
      <c r="B285" s="14" t="s">
        <v>1019</v>
      </c>
      <c r="C285" s="14"/>
    </row>
    <row r="286">
      <c r="A286" s="14" t="s">
        <v>44</v>
      </c>
      <c r="B286" s="14" t="s">
        <v>1018</v>
      </c>
      <c r="C286" s="14"/>
    </row>
    <row r="287">
      <c r="A287" s="14" t="s">
        <v>112</v>
      </c>
      <c r="B287" s="14" t="s">
        <v>1016</v>
      </c>
      <c r="C287" s="14"/>
    </row>
    <row r="288">
      <c r="A288" s="14" t="s">
        <v>107</v>
      </c>
      <c r="B288" s="14" t="s">
        <v>1012</v>
      </c>
      <c r="C288" s="14"/>
    </row>
    <row r="289">
      <c r="A289" s="14" t="s">
        <v>148</v>
      </c>
      <c r="B289" s="14" t="s">
        <v>1013</v>
      </c>
      <c r="C289" s="14"/>
    </row>
    <row r="290">
      <c r="A290" s="14" t="s">
        <v>676</v>
      </c>
      <c r="B290" s="14" t="s">
        <v>1012</v>
      </c>
      <c r="C290" s="14"/>
    </row>
    <row r="291">
      <c r="A291" s="14" t="s">
        <v>829</v>
      </c>
      <c r="B291" s="14" t="s">
        <v>1013</v>
      </c>
      <c r="C291" s="14"/>
    </row>
    <row r="292">
      <c r="A292" s="14" t="s">
        <v>770</v>
      </c>
      <c r="B292" s="14" t="s">
        <v>1014</v>
      </c>
      <c r="C292" s="14"/>
    </row>
    <row r="293">
      <c r="A293" s="14" t="s">
        <v>845</v>
      </c>
      <c r="B293" s="61" t="s">
        <v>1015</v>
      </c>
      <c r="C293" s="14"/>
    </row>
    <row r="294">
      <c r="A294" s="14" t="s">
        <v>835</v>
      </c>
      <c r="B294" s="14" t="s">
        <v>1018</v>
      </c>
      <c r="C294" s="14"/>
    </row>
    <row r="295">
      <c r="A295" s="14" t="s">
        <v>865</v>
      </c>
      <c r="B295" s="14" t="s">
        <v>1012</v>
      </c>
      <c r="C295" s="14"/>
    </row>
    <row r="296">
      <c r="A296" s="14" t="s">
        <v>753</v>
      </c>
      <c r="B296" s="14" t="s">
        <v>1012</v>
      </c>
      <c r="C296" s="14"/>
    </row>
    <row r="297">
      <c r="A297" s="14" t="s">
        <v>986</v>
      </c>
      <c r="B297" s="14" t="s">
        <v>1019</v>
      </c>
      <c r="C297" s="14"/>
    </row>
    <row r="298">
      <c r="A298" s="14" t="s">
        <v>55</v>
      </c>
      <c r="B298" s="14" t="s">
        <v>1012</v>
      </c>
      <c r="C298" s="14"/>
    </row>
    <row r="299">
      <c r="A299" s="14" t="s">
        <v>64</v>
      </c>
      <c r="B299" s="14" t="s">
        <v>1012</v>
      </c>
      <c r="C299" s="14"/>
    </row>
    <row r="300">
      <c r="A300" s="14" t="s">
        <v>41</v>
      </c>
      <c r="B300" s="14" t="s">
        <v>1017</v>
      </c>
      <c r="C300" s="14"/>
    </row>
    <row r="301">
      <c r="A301" s="14" t="s">
        <v>111</v>
      </c>
      <c r="B301" s="14" t="s">
        <v>1017</v>
      </c>
      <c r="C301" s="14"/>
    </row>
    <row r="302">
      <c r="A302" s="14" t="s">
        <v>81</v>
      </c>
      <c r="B302" s="14" t="s">
        <v>1018</v>
      </c>
      <c r="C302" s="14"/>
    </row>
    <row r="303">
      <c r="A303" s="59" t="s">
        <v>116</v>
      </c>
      <c r="B303" s="14" t="s">
        <v>1017</v>
      </c>
      <c r="C303" s="14"/>
    </row>
    <row r="304">
      <c r="A304" s="14" t="s">
        <v>174</v>
      </c>
      <c r="B304" s="14" t="s">
        <v>1012</v>
      </c>
      <c r="C304" s="14"/>
    </row>
    <row r="305">
      <c r="A305" s="14" t="s">
        <v>92</v>
      </c>
      <c r="B305" s="61" t="s">
        <v>1015</v>
      </c>
      <c r="C305" s="14"/>
    </row>
    <row r="306">
      <c r="A306" s="14" t="s">
        <v>40</v>
      </c>
      <c r="B306" s="14" t="s">
        <v>1012</v>
      </c>
      <c r="C306" s="14"/>
    </row>
    <row r="307">
      <c r="A307" s="14" t="s">
        <v>90</v>
      </c>
      <c r="B307" s="14" t="s">
        <v>1012</v>
      </c>
      <c r="C307" s="14"/>
    </row>
    <row r="308">
      <c r="A308" s="14" t="s">
        <v>39</v>
      </c>
      <c r="B308" s="14" t="s">
        <v>1017</v>
      </c>
      <c r="C308" s="14"/>
    </row>
    <row r="309">
      <c r="A309" s="14" t="s">
        <v>17</v>
      </c>
      <c r="B309" s="61" t="s">
        <v>1015</v>
      </c>
      <c r="C309" s="14"/>
    </row>
    <row r="310">
      <c r="A310" s="14" t="s">
        <v>74</v>
      </c>
      <c r="B310" s="14" t="s">
        <v>1016</v>
      </c>
      <c r="C310" s="14"/>
    </row>
    <row r="311">
      <c r="A311" s="14" t="s">
        <v>137</v>
      </c>
      <c r="B311" s="14" t="s">
        <v>1014</v>
      </c>
      <c r="C311" s="14"/>
    </row>
    <row r="312">
      <c r="A312" s="14" t="s">
        <v>191</v>
      </c>
      <c r="B312" s="61" t="s">
        <v>1015</v>
      </c>
      <c r="C312" s="14"/>
    </row>
    <row r="313">
      <c r="A313" s="14" t="s">
        <v>110</v>
      </c>
      <c r="B313" s="14" t="s">
        <v>1014</v>
      </c>
      <c r="C313" s="14"/>
    </row>
    <row r="314">
      <c r="A314" s="14" t="s">
        <v>728</v>
      </c>
      <c r="B314" s="14" t="s">
        <v>1012</v>
      </c>
      <c r="C314" s="14"/>
    </row>
    <row r="315">
      <c r="A315" s="14" t="s">
        <v>927</v>
      </c>
      <c r="B315" s="14" t="s">
        <v>1014</v>
      </c>
      <c r="C315" s="14"/>
    </row>
    <row r="316">
      <c r="A316" s="14" t="s">
        <v>771</v>
      </c>
      <c r="B316" s="61" t="s">
        <v>1015</v>
      </c>
      <c r="C316" s="14"/>
    </row>
    <row r="317">
      <c r="A317" s="14" t="s">
        <v>875</v>
      </c>
      <c r="B317" s="14" t="s">
        <v>1016</v>
      </c>
      <c r="C317" s="14"/>
    </row>
    <row r="318">
      <c r="A318" s="14" t="s">
        <v>694</v>
      </c>
      <c r="B318" s="14" t="s">
        <v>1018</v>
      </c>
      <c r="C318" s="14"/>
    </row>
    <row r="319">
      <c r="A319" s="14" t="s">
        <v>751</v>
      </c>
      <c r="B319" s="14" t="s">
        <v>1016</v>
      </c>
      <c r="C319" s="14"/>
    </row>
    <row r="320">
      <c r="A320" s="14" t="s">
        <v>919</v>
      </c>
      <c r="B320" s="14" t="s">
        <v>1012</v>
      </c>
      <c r="C320" s="14"/>
    </row>
    <row r="321">
      <c r="A321" s="14" t="s">
        <v>750</v>
      </c>
      <c r="B321" s="14" t="s">
        <v>1012</v>
      </c>
      <c r="C321" s="14"/>
    </row>
    <row r="322">
      <c r="A322" s="14" t="s">
        <v>902</v>
      </c>
      <c r="B322" s="14" t="s">
        <v>1013</v>
      </c>
      <c r="C322" s="14"/>
    </row>
    <row r="323">
      <c r="A323" s="14" t="s">
        <v>677</v>
      </c>
      <c r="B323" s="14" t="s">
        <v>1017</v>
      </c>
      <c r="C323" s="14"/>
    </row>
    <row r="324">
      <c r="A324" s="14" t="s">
        <v>915</v>
      </c>
      <c r="B324" s="61" t="s">
        <v>1015</v>
      </c>
      <c r="C324" s="14"/>
    </row>
    <row r="325">
      <c r="A325" s="14" t="s">
        <v>747</v>
      </c>
      <c r="B325" s="61" t="s">
        <v>1015</v>
      </c>
      <c r="C325" s="14"/>
    </row>
    <row r="326">
      <c r="A326" s="14" t="s">
        <v>681</v>
      </c>
      <c r="B326" s="14" t="s">
        <v>1016</v>
      </c>
      <c r="C326" s="14"/>
    </row>
    <row r="327">
      <c r="A327" s="14" t="s">
        <v>775</v>
      </c>
      <c r="B327" s="61" t="s">
        <v>1015</v>
      </c>
      <c r="C327" s="14"/>
    </row>
    <row r="328">
      <c r="A328" s="14" t="s">
        <v>734</v>
      </c>
      <c r="B328" s="14" t="s">
        <v>1012</v>
      </c>
      <c r="C328" s="14"/>
    </row>
    <row r="329">
      <c r="A329" s="14" t="s">
        <v>887</v>
      </c>
      <c r="B329" s="14" t="s">
        <v>1018</v>
      </c>
      <c r="C329" s="14"/>
    </row>
    <row r="330">
      <c r="A330" s="14" t="s">
        <v>737</v>
      </c>
      <c r="B330" s="14" t="s">
        <v>1013</v>
      </c>
      <c r="C330" s="14"/>
    </row>
    <row r="331">
      <c r="A331" s="14" t="s">
        <v>673</v>
      </c>
      <c r="B331" s="14" t="s">
        <v>1017</v>
      </c>
      <c r="C331" s="14"/>
    </row>
    <row r="332">
      <c r="A332" s="14" t="s">
        <v>907</v>
      </c>
      <c r="B332" s="14" t="s">
        <v>1019</v>
      </c>
      <c r="C332" s="14"/>
    </row>
    <row r="333">
      <c r="A333" s="14" t="s">
        <v>892</v>
      </c>
      <c r="B333" s="14" t="s">
        <v>1019</v>
      </c>
      <c r="C333" s="14"/>
    </row>
    <row r="334">
      <c r="A334" s="14" t="s">
        <v>818</v>
      </c>
      <c r="B334" s="14" t="s">
        <v>1018</v>
      </c>
      <c r="C334" s="14"/>
    </row>
    <row r="335">
      <c r="A335" s="14" t="s">
        <v>791</v>
      </c>
      <c r="B335" s="14" t="s">
        <v>1013</v>
      </c>
      <c r="C335" s="14"/>
    </row>
    <row r="336">
      <c r="A336" s="14" t="s">
        <v>1027</v>
      </c>
      <c r="B336" s="14" t="s">
        <v>1019</v>
      </c>
      <c r="C336" s="14"/>
    </row>
    <row r="337">
      <c r="A337" s="14" t="s">
        <v>745</v>
      </c>
      <c r="B337" s="61" t="s">
        <v>1015</v>
      </c>
      <c r="C337" s="14"/>
    </row>
    <row r="338">
      <c r="A338" s="14" t="s">
        <v>741</v>
      </c>
      <c r="B338" s="14" t="s">
        <v>1016</v>
      </c>
      <c r="C338" s="14"/>
    </row>
    <row r="339">
      <c r="A339" s="14" t="s">
        <v>946</v>
      </c>
      <c r="B339" s="14" t="s">
        <v>1018</v>
      </c>
      <c r="C339" s="14"/>
    </row>
    <row r="340">
      <c r="A340" s="14" t="s">
        <v>132</v>
      </c>
      <c r="B340" s="14" t="s">
        <v>1014</v>
      </c>
      <c r="C340" s="14"/>
    </row>
    <row r="341">
      <c r="A341" s="14" t="s">
        <v>860</v>
      </c>
      <c r="B341" s="14" t="s">
        <v>1014</v>
      </c>
      <c r="C341" s="14"/>
    </row>
    <row r="342">
      <c r="A342" s="14"/>
      <c r="B342" s="14"/>
      <c r="C342" s="14"/>
    </row>
    <row r="343">
      <c r="A343" s="14" t="s">
        <v>730</v>
      </c>
      <c r="B343" s="14" t="s">
        <v>1018</v>
      </c>
      <c r="C343" s="14"/>
    </row>
    <row r="344">
      <c r="A344" s="14" t="s">
        <v>894</v>
      </c>
      <c r="B344" s="14" t="s">
        <v>1018</v>
      </c>
      <c r="C344" s="14"/>
    </row>
    <row r="345">
      <c r="A345" s="14" t="s">
        <v>196</v>
      </c>
      <c r="B345" s="61" t="s">
        <v>1015</v>
      </c>
      <c r="C345" s="14"/>
    </row>
    <row r="346">
      <c r="A346" s="14" t="s">
        <v>989</v>
      </c>
      <c r="B346" s="14" t="s">
        <v>1019</v>
      </c>
      <c r="C346" s="14"/>
    </row>
    <row r="347">
      <c r="A347" s="14" t="s">
        <v>1034</v>
      </c>
      <c r="B347" s="14" t="s">
        <v>1017</v>
      </c>
      <c r="C347" s="14"/>
    </row>
    <row r="348">
      <c r="A348" s="14" t="s">
        <v>176</v>
      </c>
      <c r="B348" s="14" t="s">
        <v>1013</v>
      </c>
      <c r="C348" s="14"/>
    </row>
    <row r="349">
      <c r="A349" s="14" t="s">
        <v>701</v>
      </c>
      <c r="B349" s="14" t="s">
        <v>1017</v>
      </c>
      <c r="C349" s="14"/>
    </row>
    <row r="350">
      <c r="A350" s="14" t="s">
        <v>766</v>
      </c>
      <c r="B350" s="14" t="s">
        <v>1013</v>
      </c>
      <c r="C350" s="14"/>
    </row>
    <row r="351">
      <c r="A351" s="14" t="s">
        <v>843</v>
      </c>
      <c r="B351" s="14" t="s">
        <v>1014</v>
      </c>
      <c r="C351" s="14"/>
    </row>
    <row r="352">
      <c r="A352" s="14" t="s">
        <v>934</v>
      </c>
      <c r="B352" s="14" t="s">
        <v>1019</v>
      </c>
      <c r="C352" s="14"/>
    </row>
    <row r="353">
      <c r="A353" s="14" t="s">
        <v>716</v>
      </c>
      <c r="B353" s="61" t="s">
        <v>1015</v>
      </c>
      <c r="C353" s="14"/>
    </row>
    <row r="354">
      <c r="A354" s="14" t="s">
        <v>830</v>
      </c>
      <c r="B354" s="14" t="s">
        <v>1018</v>
      </c>
      <c r="C354" s="14"/>
    </row>
    <row r="355">
      <c r="A355" s="14" t="s">
        <v>979</v>
      </c>
      <c r="B355" s="61" t="s">
        <v>1015</v>
      </c>
      <c r="C355" s="14"/>
    </row>
    <row r="356">
      <c r="A356" s="14" t="s">
        <v>711</v>
      </c>
      <c r="B356" s="14" t="s">
        <v>1012</v>
      </c>
      <c r="C356" s="14"/>
    </row>
    <row r="357">
      <c r="A357" s="14" t="s">
        <v>778</v>
      </c>
      <c r="B357" s="14" t="s">
        <v>1014</v>
      </c>
      <c r="C357" s="14"/>
    </row>
    <row r="358">
      <c r="A358" s="14" t="s">
        <v>57</v>
      </c>
      <c r="B358" s="14" t="s">
        <v>1012</v>
      </c>
      <c r="C358" s="14"/>
    </row>
    <row r="359">
      <c r="A359" s="14" t="s">
        <v>53</v>
      </c>
      <c r="B359" s="14" t="s">
        <v>1012</v>
      </c>
      <c r="C359" s="14"/>
    </row>
    <row r="360">
      <c r="A360" s="14" t="s">
        <v>114</v>
      </c>
      <c r="B360" s="14" t="s">
        <v>1019</v>
      </c>
      <c r="C360" s="14"/>
    </row>
    <row r="361">
      <c r="A361" s="14" t="s">
        <v>75</v>
      </c>
      <c r="B361" s="14" t="s">
        <v>1016</v>
      </c>
      <c r="C361" s="14"/>
    </row>
    <row r="362">
      <c r="A362" s="14" t="s">
        <v>219</v>
      </c>
      <c r="B362" s="14" t="s">
        <v>1016</v>
      </c>
      <c r="C362" s="14"/>
    </row>
    <row r="363">
      <c r="A363" s="14" t="s">
        <v>145</v>
      </c>
      <c r="B363" s="14" t="s">
        <v>1016</v>
      </c>
      <c r="C363" s="14"/>
    </row>
    <row r="364">
      <c r="A364" s="14" t="s">
        <v>201</v>
      </c>
      <c r="B364" s="14" t="s">
        <v>1014</v>
      </c>
      <c r="C364" s="14"/>
    </row>
    <row r="365">
      <c r="A365" s="14" t="s">
        <v>152</v>
      </c>
      <c r="B365" s="14" t="s">
        <v>1019</v>
      </c>
      <c r="C365" s="14"/>
    </row>
    <row r="366">
      <c r="A366" s="14" t="s">
        <v>13</v>
      </c>
      <c r="B366" s="14" t="s">
        <v>1012</v>
      </c>
      <c r="C366" s="14"/>
    </row>
    <row r="367">
      <c r="A367" s="14" t="s">
        <v>33</v>
      </c>
      <c r="B367" s="14" t="s">
        <v>1017</v>
      </c>
      <c r="C367" s="14"/>
    </row>
    <row r="368">
      <c r="A368" s="14" t="s">
        <v>167</v>
      </c>
      <c r="B368" s="14" t="s">
        <v>1014</v>
      </c>
      <c r="C368" s="14"/>
    </row>
    <row r="369">
      <c r="A369" s="14" t="s">
        <v>83</v>
      </c>
      <c r="B369" s="61" t="s">
        <v>1015</v>
      </c>
      <c r="C369" s="14"/>
    </row>
    <row r="370">
      <c r="A370" s="14" t="s">
        <v>120</v>
      </c>
      <c r="B370" s="14" t="s">
        <v>1018</v>
      </c>
      <c r="C370" s="14"/>
    </row>
    <row r="371">
      <c r="A371" s="14" t="s">
        <v>867</v>
      </c>
      <c r="B371" s="14" t="s">
        <v>1012</v>
      </c>
      <c r="C371" s="14"/>
    </row>
    <row r="372">
      <c r="A372" s="14" t="s">
        <v>100</v>
      </c>
      <c r="B372" s="14" t="s">
        <v>1013</v>
      </c>
      <c r="C372" s="14"/>
    </row>
    <row r="373">
      <c r="A373" s="14" t="s">
        <v>151</v>
      </c>
      <c r="B373" s="14" t="s">
        <v>1014</v>
      </c>
      <c r="C373" s="14"/>
    </row>
    <row r="374">
      <c r="A374" s="14" t="s">
        <v>839</v>
      </c>
      <c r="B374" s="14" t="s">
        <v>1012</v>
      </c>
      <c r="C374" s="14"/>
    </row>
    <row r="375">
      <c r="A375" s="14" t="s">
        <v>866</v>
      </c>
      <c r="B375" s="14" t="s">
        <v>1019</v>
      </c>
      <c r="C375" s="14"/>
    </row>
    <row r="376">
      <c r="A376" s="14" t="s">
        <v>823</v>
      </c>
      <c r="B376" s="61" t="s">
        <v>1015</v>
      </c>
      <c r="C376" s="14"/>
    </row>
    <row r="377">
      <c r="A377" s="14" t="s">
        <v>692</v>
      </c>
      <c r="B377" s="61" t="s">
        <v>1015</v>
      </c>
      <c r="C377" s="14"/>
    </row>
    <row r="378">
      <c r="A378" s="14" t="s">
        <v>864</v>
      </c>
      <c r="B378" s="14" t="s">
        <v>1018</v>
      </c>
      <c r="C378" s="14"/>
    </row>
    <row r="379">
      <c r="A379" s="14" t="s">
        <v>876</v>
      </c>
      <c r="B379" s="14" t="s">
        <v>1013</v>
      </c>
      <c r="C379" s="14"/>
    </row>
    <row r="380">
      <c r="A380" s="14" t="s">
        <v>903</v>
      </c>
      <c r="B380" s="14" t="s">
        <v>1018</v>
      </c>
      <c r="C380" s="14"/>
    </row>
    <row r="381">
      <c r="A381" s="14" t="s">
        <v>755</v>
      </c>
      <c r="B381" s="14" t="s">
        <v>1012</v>
      </c>
      <c r="C381" s="14"/>
    </row>
    <row r="382">
      <c r="A382" s="14" t="s">
        <v>710</v>
      </c>
      <c r="B382" s="14" t="s">
        <v>1012</v>
      </c>
      <c r="C382" s="14"/>
    </row>
    <row r="383">
      <c r="A383" s="14" t="s">
        <v>749</v>
      </c>
      <c r="B383" s="14" t="s">
        <v>1012</v>
      </c>
      <c r="C383" s="14"/>
    </row>
    <row r="384">
      <c r="A384" s="14" t="s">
        <v>718</v>
      </c>
      <c r="B384" s="61" t="s">
        <v>1015</v>
      </c>
      <c r="C384" s="14"/>
    </row>
    <row r="385">
      <c r="A385" s="14" t="s">
        <v>789</v>
      </c>
      <c r="B385" s="14" t="s">
        <v>1019</v>
      </c>
      <c r="C385" s="14"/>
    </row>
    <row r="386">
      <c r="A386" s="14" t="s">
        <v>988</v>
      </c>
      <c r="B386" s="14" t="s">
        <v>1018</v>
      </c>
      <c r="C386" s="14"/>
    </row>
    <row r="387">
      <c r="A387" s="14" t="s">
        <v>848</v>
      </c>
      <c r="B387" s="61" t="s">
        <v>1015</v>
      </c>
      <c r="C387" s="14"/>
    </row>
    <row r="388">
      <c r="A388" s="14" t="s">
        <v>726</v>
      </c>
      <c r="B388" s="14" t="s">
        <v>1012</v>
      </c>
      <c r="C388" s="14"/>
    </row>
    <row r="389">
      <c r="A389" s="14" t="s">
        <v>817</v>
      </c>
      <c r="B389" s="14" t="s">
        <v>1018</v>
      </c>
      <c r="C389" s="14"/>
    </row>
    <row r="390">
      <c r="A390" s="14" t="s">
        <v>678</v>
      </c>
      <c r="B390" s="14" t="s">
        <v>1012</v>
      </c>
      <c r="C390" s="14"/>
    </row>
    <row r="391">
      <c r="A391" s="14" t="s">
        <v>886</v>
      </c>
      <c r="B391" s="14" t="s">
        <v>1013</v>
      </c>
      <c r="C391" s="14"/>
    </row>
    <row r="392">
      <c r="A392" s="14" t="s">
        <v>881</v>
      </c>
      <c r="B392" s="14" t="s">
        <v>1014</v>
      </c>
      <c r="C392" s="14"/>
    </row>
    <row r="393">
      <c r="A393" s="14" t="s">
        <v>899</v>
      </c>
      <c r="B393" s="61" t="s">
        <v>1015</v>
      </c>
      <c r="C393" s="14"/>
    </row>
    <row r="394">
      <c r="A394" s="14" t="s">
        <v>955</v>
      </c>
      <c r="B394" s="14" t="s">
        <v>1018</v>
      </c>
      <c r="C394" s="14"/>
    </row>
    <row r="395">
      <c r="A395" s="14" t="s">
        <v>732</v>
      </c>
      <c r="B395" s="14" t="s">
        <v>1016</v>
      </c>
      <c r="C395" s="14"/>
    </row>
    <row r="396">
      <c r="A396" s="14" t="s">
        <v>853</v>
      </c>
      <c r="B396" s="14" t="s">
        <v>1014</v>
      </c>
      <c r="C396" s="14"/>
    </row>
    <row r="397">
      <c r="A397" s="14" t="s">
        <v>949</v>
      </c>
      <c r="B397" s="14" t="s">
        <v>1012</v>
      </c>
      <c r="C397" s="14"/>
    </row>
    <row r="398">
      <c r="A398" s="14" t="s">
        <v>23</v>
      </c>
      <c r="B398" s="14" t="s">
        <v>1012</v>
      </c>
      <c r="C398" s="14"/>
    </row>
    <row r="399">
      <c r="A399" s="14" t="s">
        <v>59</v>
      </c>
      <c r="B399" s="14" t="s">
        <v>1017</v>
      </c>
      <c r="C399" s="14"/>
    </row>
    <row r="400">
      <c r="A400" s="14" t="s">
        <v>66</v>
      </c>
      <c r="B400" s="14" t="s">
        <v>1017</v>
      </c>
      <c r="C400" s="14"/>
    </row>
    <row r="401">
      <c r="A401" s="14" t="s">
        <v>48</v>
      </c>
      <c r="B401" s="14" t="s">
        <v>1016</v>
      </c>
      <c r="C401" s="14"/>
    </row>
    <row r="402">
      <c r="A402" s="14" t="s">
        <v>221</v>
      </c>
      <c r="B402" s="14" t="s">
        <v>1018</v>
      </c>
      <c r="C402" s="14"/>
    </row>
    <row r="403">
      <c r="A403" s="14" t="s">
        <v>123</v>
      </c>
      <c r="B403" s="14" t="s">
        <v>1012</v>
      </c>
      <c r="C403" s="14"/>
    </row>
    <row r="404">
      <c r="A404" s="14" t="s">
        <v>224</v>
      </c>
      <c r="B404" s="14" t="s">
        <v>1012</v>
      </c>
      <c r="C404" s="14"/>
    </row>
    <row r="405">
      <c r="A405" s="14" t="s">
        <v>127</v>
      </c>
      <c r="B405" s="14" t="s">
        <v>1018</v>
      </c>
      <c r="C405" s="14"/>
    </row>
    <row r="406">
      <c r="A406" s="14" t="s">
        <v>688</v>
      </c>
      <c r="B406" s="14" t="s">
        <v>1012</v>
      </c>
      <c r="C406" s="14"/>
    </row>
    <row r="407">
      <c r="A407" s="14" t="s">
        <v>868</v>
      </c>
      <c r="B407" s="14" t="s">
        <v>1014</v>
      </c>
      <c r="C407" s="14"/>
    </row>
    <row r="408">
      <c r="A408" s="14" t="s">
        <v>699</v>
      </c>
      <c r="B408" s="14" t="s">
        <v>1017</v>
      </c>
      <c r="C408" s="14"/>
    </row>
    <row r="409">
      <c r="A409" s="14" t="s">
        <v>901</v>
      </c>
      <c r="B409" s="14" t="s">
        <v>1019</v>
      </c>
      <c r="C409" s="14"/>
    </row>
    <row r="410">
      <c r="A410" s="14" t="s">
        <v>719</v>
      </c>
      <c r="B410" s="14" t="s">
        <v>1016</v>
      </c>
      <c r="C410" s="14"/>
    </row>
    <row r="411">
      <c r="A411" s="14" t="s">
        <v>733</v>
      </c>
      <c r="B411" s="14" t="s">
        <v>1019</v>
      </c>
      <c r="C411" s="14"/>
    </row>
    <row r="412">
      <c r="A412" s="14" t="s">
        <v>714</v>
      </c>
      <c r="B412" s="14" t="s">
        <v>1013</v>
      </c>
      <c r="C412" s="14"/>
    </row>
    <row r="413">
      <c r="A413" s="14" t="s">
        <v>758</v>
      </c>
      <c r="B413" s="14" t="s">
        <v>1012</v>
      </c>
      <c r="C413" s="14"/>
    </row>
    <row r="414">
      <c r="A414" s="14" t="s">
        <v>773</v>
      </c>
      <c r="B414" s="14" t="s">
        <v>1012</v>
      </c>
      <c r="C414" s="14"/>
    </row>
    <row r="415">
      <c r="A415" s="14" t="s">
        <v>785</v>
      </c>
      <c r="B415" s="14" t="s">
        <v>1014</v>
      </c>
      <c r="C415" s="14"/>
    </row>
    <row r="416">
      <c r="A416" s="14" t="s">
        <v>935</v>
      </c>
      <c r="B416" s="14" t="s">
        <v>1019</v>
      </c>
      <c r="C416" s="14"/>
    </row>
    <row r="417">
      <c r="A417" s="14" t="s">
        <v>922</v>
      </c>
      <c r="B417" s="61" t="s">
        <v>1015</v>
      </c>
      <c r="C417" s="14"/>
    </row>
    <row r="418">
      <c r="A418" s="14" t="s">
        <v>954</v>
      </c>
      <c r="B418" s="14" t="s">
        <v>1018</v>
      </c>
      <c r="C418" s="14"/>
    </row>
    <row r="419">
      <c r="A419" s="14" t="s">
        <v>722</v>
      </c>
      <c r="B419" s="14" t="s">
        <v>1014</v>
      </c>
      <c r="C419" s="14"/>
    </row>
    <row r="420">
      <c r="A420" s="14" t="s">
        <v>1035</v>
      </c>
      <c r="B420" s="14" t="s">
        <v>1016</v>
      </c>
      <c r="C420" s="14"/>
    </row>
    <row r="421">
      <c r="A421" s="14" t="s">
        <v>1036</v>
      </c>
      <c r="B421" s="14" t="s">
        <v>1019</v>
      </c>
      <c r="C421" s="14"/>
    </row>
    <row r="422">
      <c r="A422" s="14" t="s">
        <v>62</v>
      </c>
      <c r="B422" s="14" t="s">
        <v>1012</v>
      </c>
      <c r="C422" s="14"/>
    </row>
    <row r="423">
      <c r="A423" s="14" t="s">
        <v>82</v>
      </c>
      <c r="B423" s="14" t="s">
        <v>1012</v>
      </c>
      <c r="C423" s="14"/>
    </row>
    <row r="424">
      <c r="A424" s="14" t="s">
        <v>71</v>
      </c>
      <c r="B424" s="14" t="s">
        <v>1014</v>
      </c>
      <c r="C424" s="14"/>
    </row>
    <row r="425">
      <c r="A425" s="14" t="s">
        <v>113</v>
      </c>
      <c r="B425" s="61" t="s">
        <v>1015</v>
      </c>
      <c r="C425" s="14"/>
    </row>
    <row r="426">
      <c r="A426" s="14" t="s">
        <v>109</v>
      </c>
      <c r="B426" s="14" t="s">
        <v>1018</v>
      </c>
      <c r="C426" s="14"/>
    </row>
    <row r="427">
      <c r="A427" s="14" t="s">
        <v>84</v>
      </c>
      <c r="B427" s="14" t="s">
        <v>1018</v>
      </c>
      <c r="C427" s="14"/>
    </row>
    <row r="428">
      <c r="A428" s="14" t="s">
        <v>1037</v>
      </c>
      <c r="B428" s="14" t="s">
        <v>1012</v>
      </c>
      <c r="C428" s="14"/>
    </row>
    <row r="429">
      <c r="A429" s="14" t="s">
        <v>198</v>
      </c>
      <c r="B429" s="14" t="s">
        <v>1019</v>
      </c>
      <c r="C429" s="14"/>
    </row>
    <row r="430">
      <c r="A430" s="14" t="s">
        <v>37</v>
      </c>
      <c r="B430" s="14" t="s">
        <v>1012</v>
      </c>
      <c r="C430" s="14"/>
    </row>
    <row r="431">
      <c r="A431" s="14" t="s">
        <v>58</v>
      </c>
      <c r="B431" s="14" t="s">
        <v>1017</v>
      </c>
      <c r="C431" s="14"/>
    </row>
    <row r="432">
      <c r="A432" s="14" t="s">
        <v>165</v>
      </c>
      <c r="B432" s="14" t="s">
        <v>1014</v>
      </c>
      <c r="C432" s="14"/>
    </row>
    <row r="433">
      <c r="A433" s="14" t="s">
        <v>67</v>
      </c>
      <c r="B433" s="61" t="s">
        <v>1015</v>
      </c>
      <c r="C433" s="14"/>
    </row>
    <row r="434">
      <c r="A434" s="14" t="s">
        <v>49</v>
      </c>
      <c r="B434" s="14" t="s">
        <v>1018</v>
      </c>
      <c r="C434" s="14"/>
    </row>
    <row r="435">
      <c r="A435" s="14" t="s">
        <v>102</v>
      </c>
      <c r="B435" s="14" t="s">
        <v>1014</v>
      </c>
      <c r="C435" s="14"/>
    </row>
    <row r="436">
      <c r="A436" s="14" t="s">
        <v>135</v>
      </c>
      <c r="B436" s="14" t="s">
        <v>1017</v>
      </c>
      <c r="C436" s="14"/>
    </row>
    <row r="437">
      <c r="A437" s="14" t="s">
        <v>138</v>
      </c>
      <c r="B437" s="14" t="s">
        <v>1019</v>
      </c>
      <c r="C437" s="14"/>
    </row>
    <row r="438">
      <c r="A438" s="14" t="s">
        <v>55</v>
      </c>
      <c r="B438" s="14" t="s">
        <v>1012</v>
      </c>
      <c r="C438" s="14"/>
    </row>
    <row r="439">
      <c r="A439" s="14" t="s">
        <v>64</v>
      </c>
      <c r="B439" s="14" t="s">
        <v>1012</v>
      </c>
      <c r="C439" s="14"/>
    </row>
    <row r="440">
      <c r="A440" s="14" t="s">
        <v>41</v>
      </c>
      <c r="B440" s="14" t="s">
        <v>1017</v>
      </c>
      <c r="C440" s="14"/>
    </row>
    <row r="441">
      <c r="A441" s="14" t="s">
        <v>111</v>
      </c>
      <c r="B441" s="14" t="s">
        <v>1017</v>
      </c>
      <c r="C441" s="14"/>
    </row>
    <row r="442">
      <c r="A442" s="14" t="s">
        <v>81</v>
      </c>
      <c r="B442" s="14" t="s">
        <v>1018</v>
      </c>
      <c r="C442" s="14"/>
    </row>
    <row r="443">
      <c r="A443" s="14" t="s">
        <v>174</v>
      </c>
      <c r="B443" s="14" t="s">
        <v>1012</v>
      </c>
      <c r="C443" s="14"/>
    </row>
    <row r="444">
      <c r="A444" s="14" t="s">
        <v>92</v>
      </c>
      <c r="B444" s="61" t="s">
        <v>1015</v>
      </c>
      <c r="C444" s="14"/>
    </row>
    <row r="445">
      <c r="A445" s="14" t="s">
        <v>136</v>
      </c>
      <c r="B445" s="14" t="s">
        <v>1016</v>
      </c>
      <c r="C445" s="14"/>
    </row>
    <row r="446">
      <c r="A446" s="14" t="s">
        <v>708</v>
      </c>
      <c r="B446" s="14" t="s">
        <v>1012</v>
      </c>
      <c r="C446" s="14"/>
    </row>
    <row r="447">
      <c r="A447" s="14" t="s">
        <v>800</v>
      </c>
      <c r="B447" s="14" t="s">
        <v>1017</v>
      </c>
      <c r="C447" s="14"/>
    </row>
    <row r="448">
      <c r="A448" s="14" t="s">
        <v>1038</v>
      </c>
      <c r="B448" s="61" t="s">
        <v>1015</v>
      </c>
      <c r="C448" s="14"/>
    </row>
    <row r="449">
      <c r="A449" s="14" t="s">
        <v>757</v>
      </c>
      <c r="B449" s="61" t="s">
        <v>1015</v>
      </c>
      <c r="C449" s="14"/>
    </row>
    <row r="450">
      <c r="A450" s="14" t="s">
        <v>682</v>
      </c>
      <c r="B450" s="14" t="s">
        <v>1016</v>
      </c>
      <c r="C450" s="14"/>
    </row>
    <row r="451">
      <c r="A451" s="14" t="s">
        <v>816</v>
      </c>
      <c r="B451" s="61" t="s">
        <v>1015</v>
      </c>
      <c r="C451" s="14"/>
    </row>
    <row r="452">
      <c r="A452" s="14" t="s">
        <v>855</v>
      </c>
      <c r="B452" s="14" t="s">
        <v>1012</v>
      </c>
      <c r="C452" s="14"/>
    </row>
    <row r="453">
      <c r="A453" s="14" t="s">
        <v>836</v>
      </c>
      <c r="B453" s="14" t="s">
        <v>1016</v>
      </c>
      <c r="C453" s="14"/>
    </row>
    <row r="454">
      <c r="A454" s="14" t="s">
        <v>782</v>
      </c>
      <c r="B454" s="14" t="s">
        <v>1012</v>
      </c>
      <c r="C454" s="14"/>
    </row>
    <row r="455">
      <c r="A455" s="14" t="s">
        <v>859</v>
      </c>
      <c r="B455" s="14" t="s">
        <v>1017</v>
      </c>
      <c r="C455" s="14"/>
    </row>
    <row r="456">
      <c r="A456" s="14" t="s">
        <v>689</v>
      </c>
      <c r="B456" s="61" t="s">
        <v>1015</v>
      </c>
      <c r="C456" s="14"/>
    </row>
    <row r="457">
      <c r="A457" s="14" t="s">
        <v>784</v>
      </c>
      <c r="B457" s="14" t="s">
        <v>1019</v>
      </c>
      <c r="C457" s="14"/>
    </row>
    <row r="458">
      <c r="A458" s="14" t="s">
        <v>906</v>
      </c>
      <c r="B458" s="14" t="s">
        <v>1018</v>
      </c>
      <c r="C458" s="14"/>
    </row>
    <row r="459">
      <c r="A459" s="14" t="s">
        <v>978</v>
      </c>
      <c r="B459" s="14" t="s">
        <v>1019</v>
      </c>
      <c r="C459" s="14"/>
    </row>
    <row r="460">
      <c r="A460" s="14" t="s">
        <v>920</v>
      </c>
      <c r="B460" s="14" t="s">
        <v>1012</v>
      </c>
      <c r="C460" s="14"/>
    </row>
    <row r="461">
      <c r="A461" s="14" t="s">
        <v>911</v>
      </c>
      <c r="B461" s="14" t="s">
        <v>1017</v>
      </c>
      <c r="C461" s="14"/>
    </row>
    <row r="462">
      <c r="A462" s="59" t="s">
        <v>123</v>
      </c>
      <c r="B462" s="16" t="s">
        <v>1012</v>
      </c>
      <c r="C462" s="14"/>
    </row>
    <row r="463">
      <c r="A463" s="59" t="s">
        <v>59</v>
      </c>
      <c r="B463" s="16" t="s">
        <v>1017</v>
      </c>
      <c r="C463" s="14"/>
    </row>
    <row r="464">
      <c r="A464" s="59" t="s">
        <v>66</v>
      </c>
      <c r="B464" s="16" t="s">
        <v>1017</v>
      </c>
      <c r="C464" s="14"/>
    </row>
    <row r="465">
      <c r="A465" s="59" t="s">
        <v>48</v>
      </c>
      <c r="B465" s="16" t="s">
        <v>1016</v>
      </c>
      <c r="C465" s="14"/>
    </row>
    <row r="466">
      <c r="A466" s="59" t="s">
        <v>221</v>
      </c>
      <c r="B466" s="16" t="s">
        <v>1018</v>
      </c>
      <c r="C466" s="14"/>
    </row>
    <row r="467">
      <c r="A467" s="59" t="s">
        <v>224</v>
      </c>
      <c r="B467" s="16" t="s">
        <v>1012</v>
      </c>
      <c r="C467" s="14"/>
    </row>
    <row r="468">
      <c r="A468" s="59" t="s">
        <v>127</v>
      </c>
      <c r="B468" s="16" t="s">
        <v>1018</v>
      </c>
      <c r="C468" s="14"/>
    </row>
    <row r="469">
      <c r="A469" s="59" t="s">
        <v>94</v>
      </c>
      <c r="B469" s="16" t="s">
        <v>1014</v>
      </c>
      <c r="C469" s="14"/>
    </row>
    <row r="470">
      <c r="A470" s="59" t="s">
        <v>713</v>
      </c>
      <c r="B470" s="16" t="s">
        <v>1012</v>
      </c>
      <c r="C470" s="14"/>
    </row>
    <row r="471">
      <c r="A471" s="59" t="s">
        <v>1033</v>
      </c>
      <c r="B471" s="16" t="s">
        <v>1014</v>
      </c>
      <c r="C471" s="14"/>
    </row>
    <row r="472">
      <c r="A472" s="59" t="s">
        <v>786</v>
      </c>
      <c r="B472" s="16" t="s">
        <v>1019</v>
      </c>
      <c r="C472" s="14"/>
    </row>
    <row r="473">
      <c r="A473" s="59" t="s">
        <v>697</v>
      </c>
      <c r="B473" s="16" t="s">
        <v>1015</v>
      </c>
      <c r="C473" s="14"/>
    </row>
    <row r="474">
      <c r="A474" s="59" t="s">
        <v>879</v>
      </c>
      <c r="B474" s="16" t="s">
        <v>1018</v>
      </c>
      <c r="C474" s="14"/>
    </row>
    <row r="475">
      <c r="A475" s="59" t="s">
        <v>763</v>
      </c>
      <c r="B475" s="16" t="s">
        <v>1018</v>
      </c>
      <c r="C475" s="14"/>
    </row>
    <row r="476">
      <c r="A476" s="59" t="s">
        <v>834</v>
      </c>
      <c r="B476" s="16" t="s">
        <v>1012</v>
      </c>
      <c r="C476" s="14"/>
    </row>
    <row r="477">
      <c r="A477" s="59" t="s">
        <v>984</v>
      </c>
      <c r="B477" s="16" t="s">
        <v>1019</v>
      </c>
      <c r="C477" s="14"/>
    </row>
    <row r="478">
      <c r="A478" s="59" t="s">
        <v>155</v>
      </c>
      <c r="B478" s="16" t="s">
        <v>1012</v>
      </c>
      <c r="C478" s="14"/>
    </row>
    <row r="479">
      <c r="A479" s="59" t="s">
        <v>1029</v>
      </c>
      <c r="B479" s="16" t="s">
        <v>1019</v>
      </c>
      <c r="C479" s="14"/>
    </row>
    <row r="480">
      <c r="A480" s="59" t="s">
        <v>1030</v>
      </c>
      <c r="B480" s="16" t="s">
        <v>1019</v>
      </c>
      <c r="C480" s="14"/>
    </row>
    <row r="481">
      <c r="A481" s="59" t="s">
        <v>68</v>
      </c>
      <c r="B481" s="16" t="s">
        <v>1014</v>
      </c>
      <c r="C481" s="14"/>
    </row>
    <row r="482">
      <c r="A482" s="59" t="s">
        <v>36</v>
      </c>
      <c r="B482" s="16" t="s">
        <v>1016</v>
      </c>
      <c r="C482" s="14"/>
    </row>
    <row r="483">
      <c r="A483" s="59" t="s">
        <v>43</v>
      </c>
      <c r="B483" s="16" t="s">
        <v>1016</v>
      </c>
      <c r="C483" s="14"/>
    </row>
    <row r="484">
      <c r="A484" s="59" t="s">
        <v>129</v>
      </c>
      <c r="B484" s="16" t="s">
        <v>1013</v>
      </c>
      <c r="C484" s="14"/>
    </row>
    <row r="485">
      <c r="A485" s="59" t="s">
        <v>130</v>
      </c>
      <c r="B485" s="16" t="s">
        <v>1012</v>
      </c>
      <c r="C485" s="14"/>
    </row>
    <row r="486">
      <c r="A486" s="59" t="s">
        <v>700</v>
      </c>
      <c r="B486" s="16" t="s">
        <v>1012</v>
      </c>
      <c r="C486" s="14"/>
    </row>
    <row r="487">
      <c r="A487" s="59" t="s">
        <v>819</v>
      </c>
      <c r="B487" s="16" t="s">
        <v>1012</v>
      </c>
      <c r="C487" s="14"/>
    </row>
    <row r="488">
      <c r="A488" s="59" t="s">
        <v>684</v>
      </c>
      <c r="B488" s="16" t="s">
        <v>1017</v>
      </c>
      <c r="C488" s="14"/>
    </row>
    <row r="489">
      <c r="A489" s="59" t="s">
        <v>679</v>
      </c>
      <c r="B489" s="16" t="s">
        <v>1015</v>
      </c>
      <c r="C489" s="14"/>
    </row>
    <row r="490">
      <c r="A490" s="59" t="s">
        <v>1032</v>
      </c>
      <c r="B490" s="16" t="s">
        <v>1018</v>
      </c>
      <c r="C490" s="14"/>
    </row>
    <row r="491">
      <c r="A491" s="59" t="s">
        <v>735</v>
      </c>
      <c r="B491" s="16" t="s">
        <v>1014</v>
      </c>
      <c r="C491" s="14"/>
    </row>
    <row r="492">
      <c r="A492" s="59" t="s">
        <v>972</v>
      </c>
      <c r="B492" s="16" t="s">
        <v>1015</v>
      </c>
      <c r="C492" s="14"/>
    </row>
    <row r="493">
      <c r="A493" s="59" t="s">
        <v>872</v>
      </c>
      <c r="B493" s="16" t="s">
        <v>1012</v>
      </c>
      <c r="C493" s="14"/>
    </row>
    <row r="494">
      <c r="A494" s="59" t="s">
        <v>672</v>
      </c>
      <c r="B494" s="16" t="s">
        <v>1012</v>
      </c>
      <c r="C494" s="14"/>
    </row>
    <row r="495">
      <c r="A495" s="59" t="s">
        <v>820</v>
      </c>
      <c r="B495" s="16" t="s">
        <v>1017</v>
      </c>
      <c r="C495" s="14"/>
    </row>
    <row r="496">
      <c r="A496" s="59" t="s">
        <v>968</v>
      </c>
      <c r="B496" s="16" t="s">
        <v>1019</v>
      </c>
      <c r="C496" s="14"/>
    </row>
    <row r="497">
      <c r="A497" s="59" t="s">
        <v>995</v>
      </c>
      <c r="B497" s="16" t="s">
        <v>1016</v>
      </c>
      <c r="C497" s="14"/>
    </row>
    <row r="498">
      <c r="A498" s="59" t="s">
        <v>698</v>
      </c>
      <c r="B498" s="16" t="s">
        <v>1016</v>
      </c>
      <c r="C498" s="14"/>
    </row>
    <row r="499">
      <c r="A499" s="59" t="s">
        <v>1031</v>
      </c>
      <c r="B499" s="16" t="s">
        <v>1014</v>
      </c>
      <c r="C499" s="14"/>
    </row>
    <row r="500">
      <c r="A500" s="59" t="s">
        <v>777</v>
      </c>
      <c r="B500" s="16" t="s">
        <v>1013</v>
      </c>
      <c r="C500" s="14"/>
    </row>
    <row r="501">
      <c r="A501" s="59" t="s">
        <v>779</v>
      </c>
      <c r="B501" s="16" t="s">
        <v>1012</v>
      </c>
      <c r="C501" s="14"/>
    </row>
    <row r="502">
      <c r="A502" s="59" t="s">
        <v>731</v>
      </c>
      <c r="B502" s="16" t="s">
        <v>1013</v>
      </c>
      <c r="C502" s="14"/>
    </row>
    <row r="503">
      <c r="A503" s="59" t="s">
        <v>727</v>
      </c>
      <c r="B503" s="16" t="s">
        <v>1017</v>
      </c>
      <c r="C503" s="14"/>
    </row>
    <row r="504">
      <c r="A504" s="59" t="s">
        <v>925</v>
      </c>
      <c r="B504" s="16" t="s">
        <v>1019</v>
      </c>
      <c r="C504" s="14"/>
    </row>
    <row r="505">
      <c r="A505" s="59" t="s">
        <v>691</v>
      </c>
      <c r="B505" s="16" t="s">
        <v>1016</v>
      </c>
      <c r="C505" s="14"/>
    </row>
    <row r="506">
      <c r="A506" s="59" t="s">
        <v>1001</v>
      </c>
      <c r="B506" s="16" t="s">
        <v>1018</v>
      </c>
      <c r="C506" s="14"/>
    </row>
    <row r="507">
      <c r="A507" s="59" t="s">
        <v>760</v>
      </c>
      <c r="B507" s="16" t="s">
        <v>1012</v>
      </c>
      <c r="C507" s="14"/>
    </row>
    <row r="508">
      <c r="A508" s="59" t="s">
        <v>702</v>
      </c>
      <c r="B508" s="16" t="s">
        <v>1012</v>
      </c>
      <c r="C508" s="14"/>
    </row>
    <row r="509">
      <c r="A509" s="59" t="s">
        <v>706</v>
      </c>
      <c r="B509" s="16" t="s">
        <v>1014</v>
      </c>
      <c r="C509" s="14"/>
    </row>
    <row r="510">
      <c r="A510" s="59" t="s">
        <v>884</v>
      </c>
      <c r="B510" s="16" t="s">
        <v>1013</v>
      </c>
      <c r="C510" s="14"/>
    </row>
    <row r="511">
      <c r="A511" s="59" t="s">
        <v>717</v>
      </c>
      <c r="B511" s="16" t="s">
        <v>1012</v>
      </c>
      <c r="C511" s="14"/>
    </row>
    <row r="512">
      <c r="A512" s="59" t="s">
        <v>695</v>
      </c>
      <c r="B512" s="16" t="s">
        <v>1017</v>
      </c>
      <c r="C512" s="14"/>
    </row>
    <row r="513">
      <c r="A513" s="59" t="s">
        <v>973</v>
      </c>
      <c r="B513" s="16" t="s">
        <v>1015</v>
      </c>
      <c r="C513" s="14"/>
    </row>
    <row r="514">
      <c r="A514" s="59" t="s">
        <v>686</v>
      </c>
      <c r="B514" s="16" t="s">
        <v>1016</v>
      </c>
      <c r="C514" s="14"/>
    </row>
    <row r="515">
      <c r="A515" s="59" t="s">
        <v>759</v>
      </c>
      <c r="B515" s="16" t="s">
        <v>1012</v>
      </c>
      <c r="C515" s="14"/>
    </row>
    <row r="516">
      <c r="A516" s="59" t="s">
        <v>952</v>
      </c>
      <c r="B516" s="16" t="s">
        <v>1012</v>
      </c>
      <c r="C516" s="14"/>
    </row>
    <row r="517">
      <c r="A517" s="59" t="s">
        <v>741</v>
      </c>
      <c r="B517" s="16" t="s">
        <v>1015</v>
      </c>
      <c r="C517" s="14"/>
    </row>
    <row r="518">
      <c r="A518" s="59" t="s">
        <v>60</v>
      </c>
      <c r="B518" s="16" t="s">
        <v>1012</v>
      </c>
      <c r="C518" s="14"/>
    </row>
    <row r="519">
      <c r="A519" s="59" t="s">
        <v>182</v>
      </c>
      <c r="B519" s="16" t="s">
        <v>1014</v>
      </c>
      <c r="C519" s="14"/>
    </row>
    <row r="520">
      <c r="A520" s="59" t="s">
        <v>95</v>
      </c>
      <c r="B520" s="16" t="s">
        <v>1017</v>
      </c>
      <c r="C520" s="14"/>
    </row>
    <row r="521">
      <c r="A521" s="59" t="s">
        <v>77</v>
      </c>
      <c r="B521" s="16" t="s">
        <v>1019</v>
      </c>
      <c r="C521" s="14"/>
    </row>
    <row r="522">
      <c r="A522" s="59" t="s">
        <v>44</v>
      </c>
      <c r="B522" s="16" t="s">
        <v>1018</v>
      </c>
      <c r="C522" s="14"/>
    </row>
    <row r="523">
      <c r="A523" s="59" t="s">
        <v>112</v>
      </c>
      <c r="B523" s="16" t="s">
        <v>1016</v>
      </c>
      <c r="C523" s="14"/>
    </row>
    <row r="524">
      <c r="A524" s="59" t="s">
        <v>107</v>
      </c>
      <c r="B524" s="16" t="s">
        <v>1012</v>
      </c>
      <c r="C524" s="14"/>
    </row>
    <row r="525">
      <c r="A525" s="59" t="s">
        <v>148</v>
      </c>
      <c r="B525" s="16" t="s">
        <v>1013</v>
      </c>
      <c r="C525" s="14"/>
    </row>
    <row r="526">
      <c r="A526" s="59" t="s">
        <v>710</v>
      </c>
      <c r="B526" s="16" t="s">
        <v>1012</v>
      </c>
      <c r="C526" s="14"/>
    </row>
    <row r="527">
      <c r="A527" s="59" t="s">
        <v>749</v>
      </c>
      <c r="B527" s="16" t="s">
        <v>1012</v>
      </c>
      <c r="C527" s="14"/>
    </row>
    <row r="528">
      <c r="A528" s="59" t="s">
        <v>718</v>
      </c>
      <c r="B528" s="16" t="s">
        <v>1015</v>
      </c>
      <c r="C528" s="14"/>
    </row>
    <row r="529">
      <c r="A529" s="59" t="s">
        <v>789</v>
      </c>
      <c r="B529" s="16" t="s">
        <v>1019</v>
      </c>
      <c r="C529" s="14"/>
    </row>
    <row r="530">
      <c r="A530" s="59" t="s">
        <v>988</v>
      </c>
      <c r="B530" s="16" t="s">
        <v>1018</v>
      </c>
      <c r="C530" s="14"/>
    </row>
    <row r="531">
      <c r="A531" s="59" t="s">
        <v>848</v>
      </c>
      <c r="B531" s="16" t="s">
        <v>1015</v>
      </c>
      <c r="C531" s="14"/>
    </row>
    <row r="532">
      <c r="A532" s="59" t="s">
        <v>817</v>
      </c>
      <c r="B532" s="16" t="s">
        <v>1018</v>
      </c>
      <c r="C532" s="14"/>
    </row>
    <row r="533">
      <c r="A533" s="59" t="s">
        <v>962</v>
      </c>
      <c r="B533" s="16" t="s">
        <v>1014</v>
      </c>
      <c r="C533" s="14"/>
    </row>
    <row r="534">
      <c r="A534" s="59" t="s">
        <v>45</v>
      </c>
      <c r="B534" s="16" t="s">
        <v>1012</v>
      </c>
      <c r="C534" s="14"/>
    </row>
    <row r="535">
      <c r="A535" s="59" t="s">
        <v>35</v>
      </c>
      <c r="B535" s="16" t="s">
        <v>1017</v>
      </c>
      <c r="C535" s="14"/>
    </row>
    <row r="536">
      <c r="A536" s="59" t="s">
        <v>122</v>
      </c>
      <c r="B536" s="16" t="s">
        <v>1014</v>
      </c>
      <c r="C536" s="14"/>
    </row>
    <row r="537">
      <c r="A537" s="59" t="s">
        <v>20</v>
      </c>
      <c r="B537" s="16" t="s">
        <v>1018</v>
      </c>
      <c r="C537" s="14"/>
    </row>
    <row r="538">
      <c r="A538" s="59" t="s">
        <v>78</v>
      </c>
      <c r="B538" s="16" t="s">
        <v>1016</v>
      </c>
      <c r="C538" s="14"/>
    </row>
    <row r="539">
      <c r="A539" s="59" t="s">
        <v>70</v>
      </c>
      <c r="B539" s="16" t="s">
        <v>1013</v>
      </c>
      <c r="C539" s="14"/>
    </row>
    <row r="540">
      <c r="A540" s="59" t="s">
        <v>89</v>
      </c>
      <c r="B540" s="16" t="s">
        <v>1017</v>
      </c>
      <c r="C540" s="14"/>
    </row>
    <row r="541">
      <c r="A541" s="59" t="s">
        <v>131</v>
      </c>
      <c r="B541" s="16" t="s">
        <v>1014</v>
      </c>
      <c r="C541" s="14"/>
    </row>
    <row r="542">
      <c r="A542" s="59" t="s">
        <v>102</v>
      </c>
      <c r="B542" s="16" t="s">
        <v>1014</v>
      </c>
      <c r="C542" s="14"/>
    </row>
    <row r="543">
      <c r="A543" s="59" t="s">
        <v>58</v>
      </c>
      <c r="B543" s="16" t="s">
        <v>1017</v>
      </c>
      <c r="C543" s="14"/>
    </row>
    <row r="544">
      <c r="A544" s="59" t="s">
        <v>165</v>
      </c>
      <c r="B544" s="16" t="s">
        <v>1014</v>
      </c>
      <c r="C544" s="14"/>
    </row>
    <row r="545">
      <c r="A545" s="59" t="s">
        <v>159</v>
      </c>
      <c r="B545" s="16" t="s">
        <v>1019</v>
      </c>
      <c r="C545" s="14"/>
    </row>
    <row r="546">
      <c r="A546" s="59" t="s">
        <v>49</v>
      </c>
      <c r="B546" s="16" t="s">
        <v>1018</v>
      </c>
      <c r="C546" s="14"/>
    </row>
    <row r="547">
      <c r="A547" s="59" t="s">
        <v>135</v>
      </c>
      <c r="B547" s="16" t="s">
        <v>1017</v>
      </c>
      <c r="C547" s="14"/>
    </row>
    <row r="548">
      <c r="A548" s="59" t="s">
        <v>207</v>
      </c>
      <c r="B548" s="16" t="s">
        <v>1018</v>
      </c>
      <c r="C548" s="14"/>
    </row>
    <row r="549">
      <c r="A549" s="59" t="s">
        <v>162</v>
      </c>
      <c r="B549" s="16" t="s">
        <v>1016</v>
      </c>
      <c r="C549" s="14"/>
    </row>
    <row r="550">
      <c r="A550" s="59" t="s">
        <v>62</v>
      </c>
      <c r="B550" s="16" t="s">
        <v>1012</v>
      </c>
      <c r="C550" s="14"/>
    </row>
    <row r="551">
      <c r="A551" s="59" t="s">
        <v>82</v>
      </c>
      <c r="B551" s="16" t="s">
        <v>1012</v>
      </c>
      <c r="C551" s="14"/>
    </row>
    <row r="552">
      <c r="A552" s="59" t="s">
        <v>198</v>
      </c>
      <c r="B552" s="16" t="s">
        <v>1019</v>
      </c>
      <c r="C552" s="14"/>
    </row>
    <row r="553">
      <c r="A553" s="59" t="s">
        <v>113</v>
      </c>
      <c r="B553" s="16" t="s">
        <v>1015</v>
      </c>
      <c r="C553" s="14"/>
    </row>
    <row r="554">
      <c r="A554" s="59" t="s">
        <v>109</v>
      </c>
      <c r="B554" s="16" t="s">
        <v>1018</v>
      </c>
      <c r="C554" s="14"/>
    </row>
    <row r="555">
      <c r="A555" s="59" t="s">
        <v>84</v>
      </c>
      <c r="B555" s="16" t="s">
        <v>1018</v>
      </c>
      <c r="C555" s="14"/>
    </row>
    <row r="556">
      <c r="A556" s="59" t="s">
        <v>1037</v>
      </c>
      <c r="B556" s="16" t="s">
        <v>1012</v>
      </c>
      <c r="C556" s="14"/>
    </row>
    <row r="557">
      <c r="A557" s="59" t="s">
        <v>101</v>
      </c>
      <c r="B557" s="16" t="s">
        <v>1015</v>
      </c>
      <c r="C557" s="14"/>
    </row>
    <row r="558">
      <c r="A558" s="59" t="s">
        <v>902</v>
      </c>
      <c r="B558" s="16" t="s">
        <v>1013</v>
      </c>
      <c r="C558" s="14"/>
    </row>
    <row r="559">
      <c r="A559" s="59" t="s">
        <v>677</v>
      </c>
      <c r="B559" s="16" t="s">
        <v>1017</v>
      </c>
      <c r="C559" s="14"/>
    </row>
    <row r="560">
      <c r="A560" s="59" t="s">
        <v>915</v>
      </c>
      <c r="B560" s="16" t="s">
        <v>1015</v>
      </c>
      <c r="C560" s="14"/>
    </row>
    <row r="561">
      <c r="A561" s="59" t="s">
        <v>747</v>
      </c>
      <c r="B561" s="16" t="s">
        <v>1015</v>
      </c>
      <c r="C561" s="14"/>
    </row>
    <row r="562">
      <c r="A562" s="59" t="s">
        <v>681</v>
      </c>
      <c r="B562" s="16" t="s">
        <v>1016</v>
      </c>
      <c r="C562" s="14"/>
    </row>
    <row r="563">
      <c r="A563" s="59" t="s">
        <v>775</v>
      </c>
      <c r="B563" s="16" t="s">
        <v>1015</v>
      </c>
      <c r="C563" s="14"/>
    </row>
    <row r="564">
      <c r="A564" s="59" t="s">
        <v>734</v>
      </c>
      <c r="B564" s="16" t="s">
        <v>1012</v>
      </c>
      <c r="C564" s="14"/>
    </row>
    <row r="565">
      <c r="A565" s="59" t="s">
        <v>887</v>
      </c>
      <c r="B565" s="16" t="s">
        <v>1018</v>
      </c>
      <c r="C565" s="14"/>
    </row>
    <row r="566">
      <c r="A566" s="59" t="s">
        <v>52</v>
      </c>
      <c r="B566" s="16" t="s">
        <v>1013</v>
      </c>
      <c r="C566" s="14"/>
    </row>
    <row r="567">
      <c r="A567" s="59" t="s">
        <v>34</v>
      </c>
      <c r="B567" s="16" t="s">
        <v>1012</v>
      </c>
      <c r="C567" s="14"/>
    </row>
    <row r="568">
      <c r="A568" s="59" t="s">
        <v>72</v>
      </c>
      <c r="B568" s="16" t="s">
        <v>1014</v>
      </c>
      <c r="C568" s="14"/>
    </row>
    <row r="569">
      <c r="A569" s="59" t="s">
        <v>106</v>
      </c>
      <c r="B569" s="16" t="s">
        <v>1019</v>
      </c>
      <c r="C569" s="14"/>
    </row>
    <row r="570">
      <c r="A570" s="59" t="s">
        <v>46</v>
      </c>
      <c r="B570" s="16" t="s">
        <v>1018</v>
      </c>
      <c r="C570" s="14"/>
    </row>
    <row r="571">
      <c r="A571" s="59" t="s">
        <v>69</v>
      </c>
      <c r="B571" s="16" t="s">
        <v>1014</v>
      </c>
      <c r="C571" s="14"/>
    </row>
    <row r="572">
      <c r="A572" s="59" t="s">
        <v>56</v>
      </c>
      <c r="B572" s="16" t="s">
        <v>1017</v>
      </c>
      <c r="C572" s="14"/>
    </row>
    <row r="573">
      <c r="A573" s="59" t="s">
        <v>161</v>
      </c>
      <c r="B573" s="16" t="s">
        <v>1018</v>
      </c>
      <c r="C573" s="14"/>
    </row>
    <row r="574">
      <c r="A574" s="59" t="s">
        <v>728</v>
      </c>
      <c r="B574" s="16" t="s">
        <v>1012</v>
      </c>
      <c r="C574" s="14"/>
    </row>
    <row r="575">
      <c r="A575" s="59" t="s">
        <v>927</v>
      </c>
      <c r="B575" s="16" t="s">
        <v>1014</v>
      </c>
      <c r="C575" s="14"/>
    </row>
    <row r="576">
      <c r="A576" s="59" t="s">
        <v>771</v>
      </c>
      <c r="B576" s="16" t="s">
        <v>1015</v>
      </c>
      <c r="C576" s="14"/>
    </row>
    <row r="577">
      <c r="A577" s="59" t="s">
        <v>875</v>
      </c>
      <c r="B577" s="16" t="s">
        <v>1016</v>
      </c>
      <c r="C577" s="14"/>
    </row>
    <row r="578">
      <c r="A578" s="59" t="s">
        <v>966</v>
      </c>
      <c r="B578" s="16" t="s">
        <v>1016</v>
      </c>
      <c r="C578" s="14"/>
    </row>
    <row r="579">
      <c r="A579" s="59" t="s">
        <v>751</v>
      </c>
      <c r="B579" s="16" t="s">
        <v>1016</v>
      </c>
      <c r="C579" s="14"/>
    </row>
    <row r="580">
      <c r="A580" s="59" t="s">
        <v>919</v>
      </c>
      <c r="B580" s="16" t="s">
        <v>1012</v>
      </c>
      <c r="C580" s="14"/>
    </row>
    <row r="581">
      <c r="A581" s="59" t="s">
        <v>750</v>
      </c>
      <c r="B581" s="16" t="s">
        <v>1012</v>
      </c>
      <c r="C581" s="14"/>
    </row>
    <row r="582">
      <c r="A582" s="59" t="s">
        <v>676</v>
      </c>
      <c r="B582" s="16" t="s">
        <v>1012</v>
      </c>
      <c r="C582" s="14"/>
    </row>
    <row r="583">
      <c r="A583" s="59" t="s">
        <v>829</v>
      </c>
      <c r="B583" s="16" t="s">
        <v>1013</v>
      </c>
      <c r="C583" s="14"/>
    </row>
    <row r="584">
      <c r="A584" s="59" t="s">
        <v>770</v>
      </c>
      <c r="B584" s="16" t="s">
        <v>1014</v>
      </c>
      <c r="C584" s="14"/>
    </row>
    <row r="585">
      <c r="A585" s="59" t="s">
        <v>845</v>
      </c>
      <c r="B585" s="16" t="s">
        <v>1015</v>
      </c>
      <c r="C585" s="14"/>
    </row>
    <row r="586">
      <c r="A586" s="59" t="s">
        <v>835</v>
      </c>
      <c r="B586" s="16" t="s">
        <v>1018</v>
      </c>
      <c r="C586" s="14"/>
    </row>
    <row r="587">
      <c r="A587" s="59" t="s">
        <v>865</v>
      </c>
      <c r="B587" s="16" t="s">
        <v>1012</v>
      </c>
      <c r="C587" s="14"/>
    </row>
    <row r="588">
      <c r="A588" s="59" t="s">
        <v>730</v>
      </c>
      <c r="B588" s="16" t="s">
        <v>1018</v>
      </c>
      <c r="C588" s="14"/>
    </row>
    <row r="589">
      <c r="A589" s="59" t="s">
        <v>753</v>
      </c>
      <c r="B589" s="16" t="s">
        <v>1012</v>
      </c>
      <c r="C589" s="14"/>
    </row>
    <row r="590">
      <c r="A590" s="59" t="s">
        <v>801</v>
      </c>
      <c r="B590" s="16" t="s">
        <v>1013</v>
      </c>
      <c r="C590" s="14"/>
    </row>
    <row r="591">
      <c r="A591" s="59" t="s">
        <v>799</v>
      </c>
      <c r="B591" s="16" t="s">
        <v>1019</v>
      </c>
      <c r="C591" s="14"/>
    </row>
    <row r="592">
      <c r="A592" s="59" t="s">
        <v>780</v>
      </c>
      <c r="B592" s="16" t="s">
        <v>1016</v>
      </c>
      <c r="C592" s="14"/>
    </row>
    <row r="593">
      <c r="A593" s="59" t="s">
        <v>840</v>
      </c>
      <c r="B593" s="16" t="s">
        <v>1016</v>
      </c>
      <c r="C593" s="14"/>
    </row>
    <row r="594">
      <c r="A594" s="59" t="s">
        <v>885</v>
      </c>
      <c r="B594" s="16" t="s">
        <v>1018</v>
      </c>
      <c r="C594" s="14"/>
    </row>
    <row r="595">
      <c r="A595" s="59" t="s">
        <v>908</v>
      </c>
      <c r="B595" s="16" t="s">
        <v>1015</v>
      </c>
      <c r="C595" s="14"/>
    </row>
    <row r="596">
      <c r="A596" s="59" t="s">
        <v>863</v>
      </c>
      <c r="B596" s="16" t="s">
        <v>1017</v>
      </c>
      <c r="C596" s="14"/>
    </row>
    <row r="597">
      <c r="A597" s="59" t="s">
        <v>894</v>
      </c>
      <c r="B597" s="16" t="s">
        <v>1018</v>
      </c>
      <c r="C597" s="14"/>
    </row>
    <row r="598">
      <c r="A598" s="59" t="s">
        <v>737</v>
      </c>
      <c r="B598" s="16" t="s">
        <v>1013</v>
      </c>
      <c r="C598" s="14"/>
    </row>
    <row r="599">
      <c r="A599" s="59" t="s">
        <v>673</v>
      </c>
      <c r="B599" s="16" t="s">
        <v>1017</v>
      </c>
      <c r="C599" s="14"/>
    </row>
    <row r="600">
      <c r="A600" s="59" t="s">
        <v>907</v>
      </c>
      <c r="B600" s="16" t="s">
        <v>1019</v>
      </c>
      <c r="C600" s="14"/>
    </row>
    <row r="601">
      <c r="A601" s="59" t="s">
        <v>892</v>
      </c>
      <c r="B601" s="16" t="s">
        <v>1019</v>
      </c>
      <c r="C601" s="14"/>
    </row>
    <row r="602">
      <c r="A602" s="59" t="s">
        <v>818</v>
      </c>
      <c r="B602" s="16" t="s">
        <v>1018</v>
      </c>
      <c r="C602" s="14"/>
    </row>
    <row r="603">
      <c r="A603" s="59" t="s">
        <v>791</v>
      </c>
      <c r="B603" s="16" t="s">
        <v>1013</v>
      </c>
      <c r="C603" s="14"/>
    </row>
    <row r="604">
      <c r="A604" s="59" t="s">
        <v>1027</v>
      </c>
      <c r="B604" s="16" t="s">
        <v>1019</v>
      </c>
      <c r="C604" s="14"/>
    </row>
    <row r="605">
      <c r="A605" s="59" t="s">
        <v>745</v>
      </c>
      <c r="B605" s="16" t="s">
        <v>1015</v>
      </c>
      <c r="C605" s="14"/>
    </row>
    <row r="606">
      <c r="A606" s="59" t="s">
        <v>40</v>
      </c>
      <c r="B606" s="16" t="s">
        <v>1012</v>
      </c>
      <c r="C606" s="14"/>
    </row>
    <row r="607">
      <c r="A607" s="59" t="s">
        <v>90</v>
      </c>
      <c r="B607" s="16" t="s">
        <v>1012</v>
      </c>
      <c r="C607" s="14"/>
    </row>
    <row r="608">
      <c r="A608" s="59" t="s">
        <v>39</v>
      </c>
      <c r="B608" s="16" t="s">
        <v>1017</v>
      </c>
      <c r="C608" s="14"/>
    </row>
    <row r="609">
      <c r="A609" s="59" t="s">
        <v>17</v>
      </c>
      <c r="B609" s="16" t="s">
        <v>1015</v>
      </c>
      <c r="C609" s="14"/>
    </row>
    <row r="610">
      <c r="A610" s="59" t="s">
        <v>74</v>
      </c>
      <c r="B610" s="16" t="s">
        <v>1016</v>
      </c>
      <c r="C610" s="14"/>
    </row>
    <row r="611">
      <c r="A611" s="59" t="s">
        <v>93</v>
      </c>
      <c r="B611" s="16" t="s">
        <v>1016</v>
      </c>
      <c r="C611" s="14"/>
    </row>
    <row r="612">
      <c r="A612" s="59" t="s">
        <v>137</v>
      </c>
      <c r="B612" s="16" t="s">
        <v>1014</v>
      </c>
      <c r="C612" s="14"/>
    </row>
    <row r="613">
      <c r="A613" s="59" t="s">
        <v>110</v>
      </c>
      <c r="B613" s="16" t="s">
        <v>1014</v>
      </c>
      <c r="C613" s="14"/>
    </row>
    <row r="614">
      <c r="A614" s="59" t="s">
        <v>29</v>
      </c>
      <c r="B614" s="16" t="s">
        <v>1012</v>
      </c>
      <c r="C614" s="14"/>
    </row>
    <row r="615">
      <c r="A615" s="59" t="s">
        <v>50</v>
      </c>
      <c r="B615" s="16" t="s">
        <v>1017</v>
      </c>
      <c r="C615" s="14"/>
    </row>
    <row r="616">
      <c r="A616" s="59" t="s">
        <v>85</v>
      </c>
      <c r="B616" s="16" t="s">
        <v>1014</v>
      </c>
      <c r="C616" s="14"/>
    </row>
    <row r="617">
      <c r="A617" s="59" t="s">
        <v>88</v>
      </c>
      <c r="B617" s="16" t="s">
        <v>1019</v>
      </c>
      <c r="C617" s="14"/>
    </row>
    <row r="618">
      <c r="A618" s="59" t="s">
        <v>51</v>
      </c>
      <c r="B618" s="16" t="s">
        <v>1018</v>
      </c>
      <c r="C618" s="14"/>
    </row>
    <row r="619">
      <c r="A619" s="59" t="s">
        <v>97</v>
      </c>
      <c r="B619" s="16" t="s">
        <v>1018</v>
      </c>
      <c r="C619" s="14"/>
    </row>
    <row r="620">
      <c r="A620" s="59" t="s">
        <v>103</v>
      </c>
      <c r="B620" s="16" t="s">
        <v>1015</v>
      </c>
      <c r="C620" s="14"/>
    </row>
    <row r="621">
      <c r="A621" s="59" t="s">
        <v>1028</v>
      </c>
      <c r="B621" s="16" t="s">
        <v>1015</v>
      </c>
      <c r="C621" s="14"/>
    </row>
    <row r="622">
      <c r="A622" s="59" t="s">
        <v>860</v>
      </c>
      <c r="B622" s="16" t="s">
        <v>1014</v>
      </c>
      <c r="C622" s="14"/>
    </row>
    <row r="623">
      <c r="A623" s="59" t="s">
        <v>227</v>
      </c>
      <c r="B623" s="16" t="s">
        <v>1012</v>
      </c>
      <c r="C623" s="14"/>
    </row>
    <row r="624">
      <c r="A624" s="59" t="s">
        <v>222</v>
      </c>
      <c r="B624" s="16" t="s">
        <v>1013</v>
      </c>
      <c r="C624" s="14"/>
    </row>
    <row r="625">
      <c r="A625" s="59" t="s">
        <v>924</v>
      </c>
      <c r="B625" s="16" t="s">
        <v>1019</v>
      </c>
      <c r="C625" s="14"/>
    </row>
    <row r="626">
      <c r="A626" s="59" t="s">
        <v>176</v>
      </c>
      <c r="B626" s="16" t="s">
        <v>1013</v>
      </c>
      <c r="C626" s="14"/>
    </row>
    <row r="627">
      <c r="A627" s="59" t="s">
        <v>61</v>
      </c>
      <c r="B627" s="16" t="s">
        <v>1015</v>
      </c>
      <c r="C627" s="14"/>
    </row>
    <row r="628">
      <c r="A628" s="59" t="s">
        <v>856</v>
      </c>
      <c r="B628" s="16" t="s">
        <v>1013</v>
      </c>
      <c r="C628" s="14"/>
    </row>
    <row r="629">
      <c r="A629" s="59" t="s">
        <v>862</v>
      </c>
      <c r="B629" s="16" t="s">
        <v>1015</v>
      </c>
      <c r="C629" s="14"/>
    </row>
    <row r="630">
      <c r="A630" s="59" t="s">
        <v>821</v>
      </c>
      <c r="B630" s="16" t="s">
        <v>1017</v>
      </c>
      <c r="C630" s="14"/>
    </row>
    <row r="631">
      <c r="A631" s="59" t="s">
        <v>991</v>
      </c>
      <c r="B631" s="16" t="s">
        <v>1014</v>
      </c>
      <c r="C631" s="14"/>
    </row>
    <row r="632">
      <c r="A632" s="59" t="s">
        <v>156</v>
      </c>
      <c r="B632" s="16" t="s">
        <v>1014</v>
      </c>
      <c r="C632" s="14"/>
    </row>
    <row r="633">
      <c r="A633" s="14" t="s">
        <v>678</v>
      </c>
      <c r="B633" s="14" t="s">
        <v>1012</v>
      </c>
      <c r="C633" s="14"/>
    </row>
    <row r="634">
      <c r="A634" s="14" t="s">
        <v>886</v>
      </c>
      <c r="B634" s="14" t="s">
        <v>1013</v>
      </c>
      <c r="C634" s="14"/>
    </row>
    <row r="635">
      <c r="A635" s="14" t="s">
        <v>881</v>
      </c>
      <c r="B635" s="14" t="s">
        <v>1014</v>
      </c>
      <c r="C635" s="14"/>
    </row>
    <row r="636">
      <c r="A636" s="14" t="s">
        <v>899</v>
      </c>
      <c r="B636" s="61" t="s">
        <v>1015</v>
      </c>
      <c r="C636" s="14"/>
    </row>
    <row r="637">
      <c r="A637" s="14" t="s">
        <v>732</v>
      </c>
      <c r="B637" s="14" t="s">
        <v>1016</v>
      </c>
      <c r="C637" s="14"/>
    </row>
    <row r="638">
      <c r="A638" s="14" t="s">
        <v>795</v>
      </c>
      <c r="B638" s="14" t="s">
        <v>1016</v>
      </c>
      <c r="C638" s="14"/>
    </row>
    <row r="639">
      <c r="A639" s="14" t="s">
        <v>853</v>
      </c>
      <c r="B639" s="14" t="s">
        <v>1014</v>
      </c>
      <c r="C639" s="14"/>
    </row>
    <row r="640">
      <c r="A640" s="14" t="s">
        <v>949</v>
      </c>
      <c r="B640" s="14" t="s">
        <v>1012</v>
      </c>
      <c r="C640" s="14"/>
    </row>
    <row r="641">
      <c r="A641" s="14" t="s">
        <v>902</v>
      </c>
      <c r="B641" s="14" t="s">
        <v>1013</v>
      </c>
      <c r="C641" s="14"/>
    </row>
    <row r="642">
      <c r="A642" s="14" t="s">
        <v>677</v>
      </c>
      <c r="B642" s="14" t="s">
        <v>1017</v>
      </c>
      <c r="C642" s="14"/>
    </row>
    <row r="643">
      <c r="A643" s="14" t="s">
        <v>915</v>
      </c>
      <c r="B643" s="61" t="s">
        <v>1015</v>
      </c>
      <c r="C643" s="14"/>
    </row>
    <row r="644">
      <c r="A644" s="14" t="s">
        <v>747</v>
      </c>
      <c r="B644" s="61" t="s">
        <v>1015</v>
      </c>
      <c r="C644" s="14"/>
    </row>
    <row r="645">
      <c r="A645" s="14" t="s">
        <v>681</v>
      </c>
      <c r="B645" s="14" t="s">
        <v>1016</v>
      </c>
      <c r="C645" s="14"/>
    </row>
    <row r="646">
      <c r="A646" s="14" t="s">
        <v>734</v>
      </c>
      <c r="B646" s="14" t="s">
        <v>1012</v>
      </c>
      <c r="C646" s="14"/>
    </row>
    <row r="647">
      <c r="A647" s="14" t="s">
        <v>887</v>
      </c>
      <c r="B647" s="14" t="s">
        <v>1018</v>
      </c>
      <c r="C647" s="14"/>
    </row>
    <row r="648">
      <c r="A648" s="14" t="s">
        <v>775</v>
      </c>
      <c r="B648" s="61" t="s">
        <v>1015</v>
      </c>
      <c r="C648" s="14"/>
    </row>
    <row r="649">
      <c r="A649" s="14" t="s">
        <v>728</v>
      </c>
      <c r="B649" s="14" t="s">
        <v>1012</v>
      </c>
      <c r="C649" s="14"/>
    </row>
    <row r="650">
      <c r="A650" s="14" t="s">
        <v>927</v>
      </c>
      <c r="B650" s="14" t="s">
        <v>1014</v>
      </c>
      <c r="C650" s="14"/>
    </row>
    <row r="651">
      <c r="A651" s="14" t="s">
        <v>771</v>
      </c>
      <c r="B651" s="61" t="s">
        <v>1015</v>
      </c>
      <c r="C651" s="14"/>
    </row>
    <row r="652">
      <c r="A652" s="14" t="s">
        <v>875</v>
      </c>
      <c r="B652" s="14" t="s">
        <v>1016</v>
      </c>
      <c r="C652" s="14"/>
    </row>
    <row r="653">
      <c r="A653" s="14" t="s">
        <v>694</v>
      </c>
      <c r="B653" s="14" t="s">
        <v>1018</v>
      </c>
      <c r="C653" s="14"/>
    </row>
    <row r="654">
      <c r="A654" s="14" t="s">
        <v>991</v>
      </c>
      <c r="B654" s="14" t="s">
        <v>1014</v>
      </c>
      <c r="C654" s="14"/>
    </row>
    <row r="655">
      <c r="A655" s="14" t="s">
        <v>751</v>
      </c>
      <c r="B655" s="14" t="s">
        <v>1016</v>
      </c>
      <c r="C655" s="14"/>
    </row>
    <row r="656">
      <c r="A656" s="14" t="s">
        <v>919</v>
      </c>
      <c r="B656" s="14" t="s">
        <v>1012</v>
      </c>
      <c r="C656" s="14"/>
    </row>
    <row r="657">
      <c r="A657" s="14" t="s">
        <v>782</v>
      </c>
      <c r="B657" s="14" t="s">
        <v>1012</v>
      </c>
      <c r="C657" s="14"/>
    </row>
    <row r="658">
      <c r="A658" s="14" t="s">
        <v>680</v>
      </c>
      <c r="B658" s="61" t="s">
        <v>1015</v>
      </c>
      <c r="C658" s="14"/>
    </row>
    <row r="659">
      <c r="A659" s="14" t="s">
        <v>689</v>
      </c>
      <c r="B659" s="61" t="s">
        <v>1015</v>
      </c>
      <c r="C659" s="14"/>
    </row>
    <row r="660">
      <c r="A660" s="14" t="s">
        <v>784</v>
      </c>
      <c r="B660" s="14" t="s">
        <v>1019</v>
      </c>
      <c r="C660" s="14"/>
    </row>
    <row r="661">
      <c r="A661" s="14" t="s">
        <v>906</v>
      </c>
      <c r="B661" s="14" t="s">
        <v>1018</v>
      </c>
      <c r="C661" s="14"/>
    </row>
    <row r="662">
      <c r="A662" s="14" t="s">
        <v>978</v>
      </c>
      <c r="B662" s="14" t="s">
        <v>1019</v>
      </c>
      <c r="C662" s="14"/>
    </row>
    <row r="663">
      <c r="A663" s="14" t="s">
        <v>920</v>
      </c>
      <c r="B663" s="14" t="s">
        <v>1012</v>
      </c>
      <c r="C663" s="14"/>
    </row>
    <row r="664">
      <c r="A664" s="14" t="s">
        <v>857</v>
      </c>
      <c r="B664" s="14" t="s">
        <v>1013</v>
      </c>
      <c r="C664" s="14"/>
    </row>
    <row r="665">
      <c r="A665" s="14" t="s">
        <v>710</v>
      </c>
      <c r="B665" s="14" t="s">
        <v>1012</v>
      </c>
      <c r="C665" s="14"/>
    </row>
    <row r="666">
      <c r="A666" s="14" t="s">
        <v>749</v>
      </c>
      <c r="B666" s="14" t="s">
        <v>1012</v>
      </c>
      <c r="C666" s="14"/>
    </row>
    <row r="667">
      <c r="A667" s="14" t="s">
        <v>848</v>
      </c>
      <c r="B667" s="61" t="s">
        <v>1015</v>
      </c>
      <c r="C667" s="14"/>
    </row>
    <row r="668">
      <c r="A668" s="14" t="s">
        <v>789</v>
      </c>
      <c r="B668" s="14" t="s">
        <v>1019</v>
      </c>
      <c r="C668" s="14"/>
    </row>
    <row r="669">
      <c r="A669" s="14" t="s">
        <v>988</v>
      </c>
      <c r="B669" s="14" t="s">
        <v>1018</v>
      </c>
      <c r="C669" s="14"/>
    </row>
    <row r="670">
      <c r="A670" s="14" t="s">
        <v>817</v>
      </c>
      <c r="B670" s="14" t="s">
        <v>1018</v>
      </c>
      <c r="C670" s="14"/>
    </row>
    <row r="671">
      <c r="A671" s="14" t="s">
        <v>962</v>
      </c>
      <c r="B671" s="14" t="s">
        <v>1014</v>
      </c>
      <c r="C671" s="14"/>
    </row>
    <row r="672">
      <c r="A672" s="14" t="s">
        <v>862</v>
      </c>
      <c r="B672" s="61" t="s">
        <v>1015</v>
      </c>
      <c r="C672" s="14"/>
    </row>
    <row r="673">
      <c r="A673" s="14" t="s">
        <v>700</v>
      </c>
      <c r="B673" s="14" t="s">
        <v>1012</v>
      </c>
      <c r="C673" s="14"/>
    </row>
    <row r="674">
      <c r="A674" s="14" t="s">
        <v>819</v>
      </c>
      <c r="B674" s="14" t="s">
        <v>1012</v>
      </c>
      <c r="C674" s="14"/>
    </row>
    <row r="675">
      <c r="A675" s="14" t="s">
        <v>684</v>
      </c>
      <c r="B675" s="14" t="s">
        <v>1017</v>
      </c>
      <c r="C675" s="14"/>
    </row>
    <row r="676">
      <c r="A676" s="14" t="s">
        <v>679</v>
      </c>
      <c r="B676" s="61" t="s">
        <v>1015</v>
      </c>
      <c r="C676" s="14"/>
    </row>
    <row r="677">
      <c r="A677" s="14" t="s">
        <v>1032</v>
      </c>
      <c r="B677" s="14" t="s">
        <v>1018</v>
      </c>
      <c r="C677" s="14"/>
    </row>
    <row r="678">
      <c r="A678" s="14" t="s">
        <v>735</v>
      </c>
      <c r="B678" s="14" t="s">
        <v>1014</v>
      </c>
      <c r="C678" s="14"/>
    </row>
    <row r="679">
      <c r="A679" s="14" t="s">
        <v>972</v>
      </c>
      <c r="B679" s="61" t="s">
        <v>1015</v>
      </c>
      <c r="C679" s="14"/>
    </row>
    <row r="680">
      <c r="A680" s="14" t="s">
        <v>872</v>
      </c>
      <c r="B680" s="14" t="s">
        <v>1012</v>
      </c>
      <c r="C680" s="14"/>
    </row>
    <row r="681">
      <c r="A681" s="14" t="s">
        <v>60</v>
      </c>
      <c r="B681" s="14" t="s">
        <v>1012</v>
      </c>
      <c r="C681" s="14"/>
    </row>
    <row r="682">
      <c r="A682" s="14" t="s">
        <v>182</v>
      </c>
      <c r="B682" s="14" t="s">
        <v>1014</v>
      </c>
      <c r="C682" s="14"/>
    </row>
    <row r="683">
      <c r="A683" s="14" t="s">
        <v>95</v>
      </c>
      <c r="B683" s="14" t="s">
        <v>1017</v>
      </c>
      <c r="C683" s="14"/>
    </row>
    <row r="684">
      <c r="A684" s="14" t="s">
        <v>77</v>
      </c>
      <c r="B684" s="14" t="s">
        <v>1019</v>
      </c>
      <c r="C684" s="14"/>
    </row>
    <row r="685">
      <c r="A685" s="14" t="s">
        <v>44</v>
      </c>
      <c r="B685" s="14" t="s">
        <v>1018</v>
      </c>
      <c r="C685" s="14"/>
    </row>
    <row r="686">
      <c r="A686" s="14" t="s">
        <v>148</v>
      </c>
      <c r="B686" s="14" t="s">
        <v>1013</v>
      </c>
      <c r="C686" s="14"/>
    </row>
    <row r="687">
      <c r="A687" s="14" t="s">
        <v>112</v>
      </c>
      <c r="B687" s="14" t="s">
        <v>1016</v>
      </c>
      <c r="C687" s="14"/>
    </row>
    <row r="688">
      <c r="A688" s="14" t="s">
        <v>1020</v>
      </c>
      <c r="B688" s="14" t="s">
        <v>1016</v>
      </c>
      <c r="C688" s="14"/>
    </row>
    <row r="689">
      <c r="A689" s="14" t="s">
        <v>766</v>
      </c>
      <c r="B689" s="14" t="s">
        <v>1013</v>
      </c>
      <c r="C689" s="14"/>
    </row>
    <row r="690">
      <c r="A690" s="14" t="s">
        <v>843</v>
      </c>
      <c r="B690" s="14" t="s">
        <v>1014</v>
      </c>
      <c r="C690" s="14"/>
    </row>
    <row r="691">
      <c r="A691" s="14" t="s">
        <v>934</v>
      </c>
      <c r="B691" s="14" t="s">
        <v>1019</v>
      </c>
      <c r="C691" s="14"/>
    </row>
    <row r="692">
      <c r="A692" s="14" t="s">
        <v>716</v>
      </c>
      <c r="B692" s="61" t="s">
        <v>1015</v>
      </c>
      <c r="C692" s="14"/>
    </row>
    <row r="693">
      <c r="A693" s="14" t="s">
        <v>830</v>
      </c>
      <c r="B693" s="14" t="s">
        <v>1018</v>
      </c>
      <c r="C693" s="14"/>
    </row>
    <row r="694">
      <c r="A694" s="14" t="s">
        <v>711</v>
      </c>
      <c r="B694" s="14" t="s">
        <v>1012</v>
      </c>
      <c r="C694" s="14"/>
    </row>
    <row r="695">
      <c r="A695" s="14" t="s">
        <v>1003</v>
      </c>
      <c r="B695" s="14" t="s">
        <v>1019</v>
      </c>
      <c r="C695" s="14"/>
    </row>
    <row r="696">
      <c r="A696" s="14" t="s">
        <v>778</v>
      </c>
      <c r="B696" s="14" t="s">
        <v>1014</v>
      </c>
      <c r="C696" s="14"/>
    </row>
    <row r="697">
      <c r="A697" s="14" t="s">
        <v>23</v>
      </c>
      <c r="B697" s="14" t="s">
        <v>1012</v>
      </c>
      <c r="C697" s="14"/>
    </row>
    <row r="698">
      <c r="A698" s="14" t="s">
        <v>59</v>
      </c>
      <c r="B698" s="14" t="s">
        <v>1017</v>
      </c>
      <c r="C698" s="14"/>
    </row>
    <row r="699">
      <c r="A699" s="14" t="s">
        <v>66</v>
      </c>
      <c r="B699" s="14" t="s">
        <v>1017</v>
      </c>
      <c r="C699" s="14"/>
    </row>
    <row r="700">
      <c r="A700" s="14" t="s">
        <v>48</v>
      </c>
      <c r="B700" s="14" t="s">
        <v>1016</v>
      </c>
      <c r="C700" s="14"/>
    </row>
    <row r="701">
      <c r="A701" s="14" t="s">
        <v>221</v>
      </c>
      <c r="B701" s="14" t="s">
        <v>1018</v>
      </c>
      <c r="C701" s="14"/>
    </row>
    <row r="702">
      <c r="A702" s="14" t="s">
        <v>94</v>
      </c>
      <c r="B702" s="14" t="s">
        <v>1014</v>
      </c>
      <c r="C702" s="14"/>
    </row>
    <row r="703">
      <c r="A703" s="14" t="s">
        <v>127</v>
      </c>
      <c r="B703" s="14" t="s">
        <v>1018</v>
      </c>
      <c r="C703" s="14"/>
    </row>
    <row r="704">
      <c r="A704" s="14" t="s">
        <v>123</v>
      </c>
      <c r="B704" s="14" t="s">
        <v>1012</v>
      </c>
      <c r="C704" s="14"/>
    </row>
    <row r="705">
      <c r="A705" s="14" t="s">
        <v>37</v>
      </c>
      <c r="B705" s="14" t="s">
        <v>1012</v>
      </c>
      <c r="C705" s="14"/>
    </row>
    <row r="706">
      <c r="A706" s="14" t="s">
        <v>102</v>
      </c>
      <c r="B706" s="14" t="s">
        <v>1014</v>
      </c>
      <c r="C706" s="14"/>
    </row>
    <row r="707">
      <c r="A707" s="14" t="s">
        <v>58</v>
      </c>
      <c r="B707" s="14" t="s">
        <v>1017</v>
      </c>
      <c r="C707" s="14"/>
    </row>
    <row r="708">
      <c r="A708" s="14" t="s">
        <v>159</v>
      </c>
      <c r="B708" s="14" t="s">
        <v>1019</v>
      </c>
      <c r="C708" s="14"/>
    </row>
    <row r="709">
      <c r="A709" s="14" t="s">
        <v>49</v>
      </c>
      <c r="B709" s="14" t="s">
        <v>1018</v>
      </c>
      <c r="C709" s="14"/>
    </row>
    <row r="710">
      <c r="A710" s="14" t="s">
        <v>135</v>
      </c>
      <c r="B710" s="14" t="s">
        <v>1017</v>
      </c>
      <c r="C710" s="14"/>
    </row>
    <row r="711">
      <c r="A711" s="14" t="s">
        <v>165</v>
      </c>
      <c r="B711" s="14" t="s">
        <v>1014</v>
      </c>
      <c r="C711" s="14"/>
    </row>
    <row r="712">
      <c r="A712" s="14" t="s">
        <v>67</v>
      </c>
      <c r="B712" s="61" t="s">
        <v>1015</v>
      </c>
      <c r="C712" s="14"/>
    </row>
    <row r="713">
      <c r="A713" s="14" t="s">
        <v>47</v>
      </c>
      <c r="B713" s="14" t="s">
        <v>1013</v>
      </c>
      <c r="C713" s="14"/>
    </row>
    <row r="714">
      <c r="A714" s="14" t="s">
        <v>82</v>
      </c>
      <c r="B714" s="14" t="s">
        <v>1012</v>
      </c>
      <c r="C714" s="14"/>
    </row>
    <row r="715">
      <c r="A715" s="14" t="s">
        <v>54</v>
      </c>
      <c r="B715" s="14" t="s">
        <v>1017</v>
      </c>
      <c r="C715" s="14"/>
    </row>
    <row r="716">
      <c r="A716" s="14" t="s">
        <v>26</v>
      </c>
      <c r="B716" s="61" t="s">
        <v>1015</v>
      </c>
      <c r="C716" s="14"/>
    </row>
    <row r="717">
      <c r="A717" s="14" t="s">
        <v>109</v>
      </c>
      <c r="B717" s="14" t="s">
        <v>1018</v>
      </c>
      <c r="C717" s="14"/>
    </row>
    <row r="718">
      <c r="A718" s="14" t="s">
        <v>62</v>
      </c>
      <c r="B718" s="14" t="s">
        <v>1012</v>
      </c>
      <c r="C718" s="14"/>
    </row>
    <row r="719">
      <c r="A719" s="14" t="s">
        <v>198</v>
      </c>
      <c r="B719" s="14" t="s">
        <v>1019</v>
      </c>
      <c r="C719" s="14"/>
    </row>
    <row r="720">
      <c r="A720" s="14" t="s">
        <v>84</v>
      </c>
      <c r="B720" s="14" t="s">
        <v>1018</v>
      </c>
      <c r="C720" s="14"/>
    </row>
    <row r="721">
      <c r="A721" s="14" t="s">
        <v>1029</v>
      </c>
      <c r="B721" s="14" t="s">
        <v>1019</v>
      </c>
      <c r="C721" s="14"/>
    </row>
    <row r="722">
      <c r="A722" s="14" t="s">
        <v>130</v>
      </c>
      <c r="B722" s="14" t="s">
        <v>1012</v>
      </c>
      <c r="C722" s="14"/>
    </row>
    <row r="723">
      <c r="A723" s="14" t="s">
        <v>1030</v>
      </c>
      <c r="B723" s="14" t="s">
        <v>1019</v>
      </c>
      <c r="C723" s="14"/>
    </row>
    <row r="724">
      <c r="A724" s="14" t="s">
        <v>68</v>
      </c>
      <c r="B724" s="14" t="s">
        <v>1014</v>
      </c>
      <c r="C724" s="14"/>
    </row>
    <row r="725">
      <c r="A725" s="14" t="s">
        <v>36</v>
      </c>
      <c r="B725" s="14" t="s">
        <v>1016</v>
      </c>
      <c r="C725" s="14"/>
    </row>
    <row r="726">
      <c r="A726" s="14" t="s">
        <v>43</v>
      </c>
      <c r="B726" s="14" t="s">
        <v>1016</v>
      </c>
      <c r="C726" s="14"/>
    </row>
    <row r="727">
      <c r="A727" s="14" t="s">
        <v>156</v>
      </c>
      <c r="B727" s="14" t="s">
        <v>1014</v>
      </c>
      <c r="C727" s="14"/>
    </row>
    <row r="728">
      <c r="A728" s="14" t="s">
        <v>129</v>
      </c>
      <c r="B728" s="14" t="s">
        <v>1013</v>
      </c>
      <c r="C728" s="14"/>
    </row>
    <row r="729">
      <c r="A729" s="14" t="s">
        <v>773</v>
      </c>
      <c r="B729" s="14" t="s">
        <v>1012</v>
      </c>
      <c r="C729" s="14"/>
    </row>
    <row r="730">
      <c r="A730" s="14" t="s">
        <v>785</v>
      </c>
      <c r="B730" s="14" t="s">
        <v>1014</v>
      </c>
      <c r="C730" s="14"/>
    </row>
    <row r="731">
      <c r="A731" s="14" t="s">
        <v>935</v>
      </c>
      <c r="B731" s="14" t="s">
        <v>1019</v>
      </c>
      <c r="C731" s="14"/>
    </row>
    <row r="732">
      <c r="A732" s="14" t="s">
        <v>922</v>
      </c>
      <c r="B732" s="61" t="s">
        <v>1015</v>
      </c>
      <c r="C732" s="14"/>
    </row>
    <row r="733">
      <c r="A733" s="14" t="s">
        <v>954</v>
      </c>
      <c r="B733" s="14" t="s">
        <v>1018</v>
      </c>
      <c r="C733" s="14"/>
    </row>
    <row r="734">
      <c r="A734" s="14" t="s">
        <v>722</v>
      </c>
      <c r="B734" s="14" t="s">
        <v>1014</v>
      </c>
      <c r="C734" s="14"/>
    </row>
    <row r="735">
      <c r="A735" s="14" t="s">
        <v>1035</v>
      </c>
      <c r="B735" s="14" t="s">
        <v>1016</v>
      </c>
      <c r="C735" s="14"/>
    </row>
    <row r="736">
      <c r="A736" s="14" t="s">
        <v>900</v>
      </c>
      <c r="B736" s="14" t="s">
        <v>1012</v>
      </c>
      <c r="C736" s="14"/>
    </row>
    <row r="737">
      <c r="A737" s="14" t="s">
        <v>708</v>
      </c>
      <c r="B737" s="14" t="s">
        <v>1012</v>
      </c>
      <c r="C737" s="14"/>
    </row>
    <row r="738">
      <c r="A738" s="14" t="s">
        <v>800</v>
      </c>
      <c r="B738" s="14" t="s">
        <v>1017</v>
      </c>
      <c r="C738" s="14"/>
    </row>
    <row r="739">
      <c r="A739" s="14" t="s">
        <v>1038</v>
      </c>
      <c r="B739" s="61" t="s">
        <v>1015</v>
      </c>
      <c r="C739" s="14"/>
    </row>
    <row r="740">
      <c r="A740" s="14" t="s">
        <v>757</v>
      </c>
      <c r="B740" s="61" t="s">
        <v>1015</v>
      </c>
      <c r="C740" s="14"/>
    </row>
    <row r="741">
      <c r="A741" s="14" t="s">
        <v>682</v>
      </c>
      <c r="B741" s="14" t="s">
        <v>1016</v>
      </c>
      <c r="C741" s="14"/>
    </row>
    <row r="742">
      <c r="A742" s="14" t="s">
        <v>877</v>
      </c>
      <c r="B742" s="14" t="s">
        <v>1012</v>
      </c>
      <c r="C742" s="14"/>
    </row>
    <row r="743">
      <c r="A743" s="14" t="s">
        <v>855</v>
      </c>
      <c r="B743" s="14" t="s">
        <v>1012</v>
      </c>
      <c r="C743" s="14"/>
    </row>
    <row r="744">
      <c r="A744" s="14" t="s">
        <v>816</v>
      </c>
      <c r="B744" s="61" t="s">
        <v>1015</v>
      </c>
      <c r="C744" s="14"/>
    </row>
    <row r="745">
      <c r="A745" s="14" t="s">
        <v>671</v>
      </c>
      <c r="B745" s="14" t="s">
        <v>1016</v>
      </c>
      <c r="C745" s="14"/>
    </row>
    <row r="746">
      <c r="A746" s="14" t="s">
        <v>61</v>
      </c>
      <c r="B746" s="61" t="s">
        <v>1015</v>
      </c>
      <c r="C746" s="14"/>
    </row>
    <row r="747">
      <c r="A747" s="14" t="s">
        <v>224</v>
      </c>
      <c r="B747" s="14" t="s">
        <v>1012</v>
      </c>
      <c r="C747" s="14"/>
    </row>
    <row r="748">
      <c r="A748" s="14" t="s">
        <v>107</v>
      </c>
      <c r="B748" s="14" t="s">
        <v>1012</v>
      </c>
      <c r="C748" s="14"/>
    </row>
    <row r="749">
      <c r="A749" s="14" t="s">
        <v>176</v>
      </c>
      <c r="B749" s="14" t="s">
        <v>1013</v>
      </c>
      <c r="C749" s="14"/>
    </row>
    <row r="750">
      <c r="A750" s="14" t="s">
        <v>804</v>
      </c>
      <c r="B750" s="14" t="s">
        <v>1012</v>
      </c>
      <c r="C750" s="14"/>
    </row>
    <row r="751">
      <c r="A751" s="14" t="s">
        <v>958</v>
      </c>
      <c r="B751" s="14" t="s">
        <v>1013</v>
      </c>
      <c r="C751" s="14"/>
    </row>
    <row r="752">
      <c r="A752" s="14" t="s">
        <v>222</v>
      </c>
      <c r="B752" s="14" t="s">
        <v>1013</v>
      </c>
      <c r="C752" s="14"/>
    </row>
    <row r="753">
      <c r="A753" s="14" t="s">
        <v>227</v>
      </c>
      <c r="B753" s="14" t="s">
        <v>1012</v>
      </c>
      <c r="C753" s="14"/>
    </row>
    <row r="754">
      <c r="A754" s="14" t="s">
        <v>739</v>
      </c>
      <c r="B754" s="14" t="s">
        <v>1012</v>
      </c>
      <c r="C754" s="14"/>
    </row>
    <row r="755">
      <c r="A755" s="14" t="s">
        <v>207</v>
      </c>
      <c r="B755" s="14" t="s">
        <v>1018</v>
      </c>
      <c r="C755" s="14"/>
    </row>
    <row r="756">
      <c r="A756" s="16" t="s">
        <v>762</v>
      </c>
      <c r="B756" s="59" t="s">
        <v>1014</v>
      </c>
      <c r="C756" s="14"/>
    </row>
    <row r="757">
      <c r="A757" s="59" t="s">
        <v>724</v>
      </c>
      <c r="B757" s="59" t="s">
        <v>1014</v>
      </c>
      <c r="C757" s="14"/>
    </row>
    <row r="758">
      <c r="A758" s="16" t="s">
        <v>674</v>
      </c>
      <c r="B758" s="61" t="s">
        <v>1015</v>
      </c>
      <c r="C758" s="14"/>
    </row>
    <row r="759">
      <c r="A759" s="16" t="s">
        <v>685</v>
      </c>
      <c r="B759" s="59" t="s">
        <v>1012</v>
      </c>
      <c r="C759" s="14"/>
    </row>
    <row r="760">
      <c r="A760" s="16" t="s">
        <v>729</v>
      </c>
      <c r="B760" s="59" t="s">
        <v>1012</v>
      </c>
      <c r="C760" s="14"/>
    </row>
    <row r="761">
      <c r="A761" s="16" t="s">
        <v>63</v>
      </c>
      <c r="B761" s="59" t="s">
        <v>1018</v>
      </c>
      <c r="C761" s="14"/>
    </row>
    <row r="762">
      <c r="A762" s="18" t="s">
        <v>99</v>
      </c>
      <c r="B762" s="59" t="s">
        <v>1015</v>
      </c>
      <c r="C762" s="14"/>
    </row>
    <row r="763">
      <c r="A763" s="16" t="s">
        <v>837</v>
      </c>
      <c r="B763" s="59" t="s">
        <v>1015</v>
      </c>
      <c r="C763" s="14"/>
    </row>
    <row r="764">
      <c r="A764" s="59" t="s">
        <v>675</v>
      </c>
      <c r="B764" s="59" t="s">
        <v>1015</v>
      </c>
      <c r="C764" s="14"/>
    </row>
    <row r="765">
      <c r="A765" s="59" t="s">
        <v>683</v>
      </c>
      <c r="B765" s="59" t="s">
        <v>1015</v>
      </c>
      <c r="C765" s="14"/>
    </row>
    <row r="766">
      <c r="A766" s="59" t="s">
        <v>705</v>
      </c>
      <c r="B766" s="59" t="s">
        <v>1012</v>
      </c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9" max="9" width="17.0"/>
  </cols>
  <sheetData>
    <row r="1">
      <c r="A1" s="16" t="s">
        <v>1039</v>
      </c>
      <c r="B1" s="62" t="s">
        <v>1019</v>
      </c>
      <c r="C1" s="15" t="s">
        <v>1012</v>
      </c>
      <c r="D1" s="15" t="s">
        <v>1018</v>
      </c>
      <c r="E1" s="15" t="s">
        <v>1013</v>
      </c>
      <c r="F1" s="15" t="s">
        <v>1016</v>
      </c>
      <c r="G1" s="15" t="s">
        <v>1017</v>
      </c>
      <c r="H1" s="15" t="s">
        <v>1014</v>
      </c>
      <c r="I1" s="15" t="s">
        <v>1015</v>
      </c>
    </row>
    <row r="2">
      <c r="A2" s="16" t="s">
        <v>15</v>
      </c>
      <c r="B2" s="1">
        <v>23.62</v>
      </c>
      <c r="C2" s="1">
        <v>41.1</v>
      </c>
      <c r="D2" s="1">
        <v>23.5</v>
      </c>
      <c r="E2" s="1">
        <v>23.0</v>
      </c>
      <c r="F2" s="1">
        <v>32.34</v>
      </c>
      <c r="G2" s="1">
        <v>23.1</v>
      </c>
      <c r="H2" s="1">
        <v>29.0</v>
      </c>
      <c r="I2" s="1">
        <v>32.04</v>
      </c>
    </row>
    <row r="3">
      <c r="A3" s="16" t="s">
        <v>239</v>
      </c>
      <c r="B3" s="1">
        <v>22.73</v>
      </c>
      <c r="C3" s="1">
        <v>53.13</v>
      </c>
      <c r="D3" s="1">
        <v>29.79</v>
      </c>
      <c r="E3" s="1">
        <v>15.01</v>
      </c>
      <c r="F3" s="1">
        <v>24.12</v>
      </c>
      <c r="G3" s="1">
        <v>24.58</v>
      </c>
      <c r="H3" s="1">
        <v>28.64</v>
      </c>
      <c r="I3" s="1">
        <v>31.87</v>
      </c>
    </row>
    <row r="4">
      <c r="A4" s="16" t="s">
        <v>232</v>
      </c>
      <c r="B4" s="1">
        <v>21.39</v>
      </c>
      <c r="C4" s="1">
        <v>48.35</v>
      </c>
      <c r="D4" s="1">
        <v>26.09</v>
      </c>
      <c r="E4" s="1">
        <v>20.36</v>
      </c>
      <c r="F4" s="1">
        <v>19.73</v>
      </c>
      <c r="G4" s="1">
        <v>20.66</v>
      </c>
      <c r="H4" s="1">
        <v>24.76</v>
      </c>
      <c r="I4" s="1">
        <v>46.34</v>
      </c>
    </row>
    <row r="5">
      <c r="A5" s="16" t="s">
        <v>245</v>
      </c>
      <c r="B5" s="1">
        <v>21.73</v>
      </c>
      <c r="C5" s="1">
        <v>47.64</v>
      </c>
      <c r="D5" s="1">
        <v>35.07</v>
      </c>
      <c r="E5" s="1">
        <v>13.13</v>
      </c>
      <c r="F5" s="1">
        <v>28.72</v>
      </c>
      <c r="G5" s="1">
        <v>17.13</v>
      </c>
      <c r="H5" s="1">
        <v>23.39</v>
      </c>
      <c r="I5" s="1">
        <v>41.83</v>
      </c>
    </row>
    <row r="6">
      <c r="A6" s="16" t="s">
        <v>242</v>
      </c>
      <c r="B6" s="1">
        <v>22.91</v>
      </c>
      <c r="C6" s="1">
        <v>47.85</v>
      </c>
      <c r="D6" s="1">
        <v>30.89</v>
      </c>
      <c r="E6" s="1">
        <v>15.63</v>
      </c>
      <c r="F6" s="1">
        <v>35.2</v>
      </c>
      <c r="G6" s="1">
        <v>21.89</v>
      </c>
      <c r="H6" s="1">
        <v>18.8</v>
      </c>
      <c r="I6" s="1">
        <v>27.55</v>
      </c>
    </row>
    <row r="7">
      <c r="A7" s="16" t="s">
        <v>22</v>
      </c>
      <c r="B7" s="1">
        <v>32.09</v>
      </c>
      <c r="C7" s="1">
        <v>52.62</v>
      </c>
      <c r="D7" s="1">
        <v>35.68</v>
      </c>
      <c r="E7" s="1">
        <v>24.53</v>
      </c>
      <c r="F7" s="1">
        <v>17.63</v>
      </c>
      <c r="G7" s="1">
        <v>20.81</v>
      </c>
      <c r="H7" s="1">
        <v>22.2</v>
      </c>
      <c r="I7" s="1">
        <v>33.85</v>
      </c>
    </row>
    <row r="8">
      <c r="A8" s="16" t="s">
        <v>236</v>
      </c>
      <c r="B8" s="1">
        <v>19.53</v>
      </c>
      <c r="C8" s="1">
        <v>52.51</v>
      </c>
      <c r="D8" s="1">
        <v>34.66</v>
      </c>
      <c r="E8" s="1">
        <v>20.76</v>
      </c>
      <c r="F8" s="1">
        <v>25.42</v>
      </c>
      <c r="G8" s="1">
        <v>13.12</v>
      </c>
      <c r="H8" s="1">
        <v>22.18</v>
      </c>
      <c r="I8" s="1">
        <v>25.12</v>
      </c>
    </row>
    <row r="9">
      <c r="A9" s="16" t="s">
        <v>235</v>
      </c>
      <c r="B9" s="1">
        <v>20.89</v>
      </c>
      <c r="C9" s="1">
        <v>47.52</v>
      </c>
      <c r="D9" s="1">
        <v>23.66</v>
      </c>
      <c r="E9" s="1">
        <v>17.04</v>
      </c>
      <c r="F9" s="1">
        <v>35.29</v>
      </c>
      <c r="G9" s="1">
        <v>21.07</v>
      </c>
      <c r="H9" s="1">
        <v>30.35</v>
      </c>
      <c r="I9" s="1">
        <v>27.42</v>
      </c>
    </row>
    <row r="10">
      <c r="A10" s="16" t="s">
        <v>243</v>
      </c>
      <c r="B10" s="1">
        <v>16.48</v>
      </c>
      <c r="C10" s="1">
        <v>49.27</v>
      </c>
      <c r="D10" s="1">
        <v>34.68</v>
      </c>
      <c r="E10" s="1">
        <v>28.25</v>
      </c>
      <c r="F10" s="1">
        <v>31.45</v>
      </c>
      <c r="G10" s="1">
        <v>22.23</v>
      </c>
      <c r="H10" s="1">
        <v>20.11</v>
      </c>
      <c r="I10" s="1">
        <v>26.7</v>
      </c>
    </row>
    <row r="11">
      <c r="A11" s="16" t="s">
        <v>24</v>
      </c>
      <c r="B11" s="1">
        <v>22.69</v>
      </c>
      <c r="C11" s="1">
        <v>37.39</v>
      </c>
      <c r="D11" s="1">
        <v>26.01</v>
      </c>
      <c r="E11" s="1">
        <v>31.36</v>
      </c>
      <c r="F11" s="1">
        <v>26.01</v>
      </c>
      <c r="G11" s="1">
        <v>13.36</v>
      </c>
      <c r="H11" s="1">
        <v>12.15</v>
      </c>
      <c r="I11" s="1">
        <v>51.14</v>
      </c>
    </row>
    <row r="12">
      <c r="A12" s="16" t="s">
        <v>31</v>
      </c>
      <c r="B12" s="1">
        <v>22.29</v>
      </c>
      <c r="C12" s="1">
        <v>51.26</v>
      </c>
      <c r="D12" s="1">
        <v>21.35</v>
      </c>
      <c r="E12" s="1">
        <v>20.23</v>
      </c>
      <c r="F12" s="1">
        <v>41.32</v>
      </c>
      <c r="G12" s="1">
        <v>28.13</v>
      </c>
      <c r="H12" s="1">
        <v>31.57</v>
      </c>
      <c r="I12" s="1">
        <v>34.54</v>
      </c>
    </row>
    <row r="13">
      <c r="A13" s="16" t="s">
        <v>21</v>
      </c>
      <c r="B13" s="1">
        <v>24.46</v>
      </c>
      <c r="C13" s="1">
        <v>51.24</v>
      </c>
      <c r="D13" s="1">
        <v>44.67</v>
      </c>
      <c r="E13" s="1">
        <v>14.9</v>
      </c>
      <c r="F13" s="1">
        <v>18.07</v>
      </c>
      <c r="G13" s="1">
        <v>27.35</v>
      </c>
      <c r="H13" s="1">
        <v>21.03</v>
      </c>
      <c r="I13" s="1">
        <v>48.15</v>
      </c>
    </row>
    <row r="14">
      <c r="A14" s="16" t="s">
        <v>233</v>
      </c>
      <c r="B14" s="1">
        <v>23.68</v>
      </c>
      <c r="C14" s="1">
        <v>35.58</v>
      </c>
      <c r="D14" s="1">
        <v>20.52</v>
      </c>
      <c r="E14" s="1">
        <v>24.94</v>
      </c>
      <c r="F14" s="1">
        <v>39.39</v>
      </c>
      <c r="G14" s="1">
        <v>22.58</v>
      </c>
      <c r="H14" s="1">
        <v>17.98</v>
      </c>
      <c r="I14" s="1">
        <v>33.32</v>
      </c>
    </row>
    <row r="15">
      <c r="A15" s="16" t="s">
        <v>230</v>
      </c>
      <c r="B15" s="1">
        <v>23.37</v>
      </c>
      <c r="C15" s="1">
        <v>38.77</v>
      </c>
      <c r="D15" s="1">
        <v>36.23</v>
      </c>
      <c r="E15" s="1">
        <v>22.98</v>
      </c>
      <c r="F15" s="1">
        <v>22.31</v>
      </c>
      <c r="G15" s="1">
        <v>19.73</v>
      </c>
      <c r="H15" s="1">
        <v>20.56</v>
      </c>
      <c r="I15" s="1">
        <v>34.31</v>
      </c>
    </row>
    <row r="16">
      <c r="A16" s="16" t="s">
        <v>28</v>
      </c>
      <c r="B16" s="1">
        <v>20.24</v>
      </c>
      <c r="C16" s="1">
        <v>43.89</v>
      </c>
      <c r="D16" s="1">
        <v>32.31</v>
      </c>
      <c r="E16" s="1">
        <v>11.43</v>
      </c>
      <c r="F16" s="1">
        <v>36.68</v>
      </c>
      <c r="G16" s="1">
        <v>27.73</v>
      </c>
      <c r="H16" s="1">
        <v>20.05</v>
      </c>
      <c r="I16" s="1">
        <v>35.24</v>
      </c>
    </row>
    <row r="17">
      <c r="A17" s="16" t="s">
        <v>238</v>
      </c>
      <c r="B17" s="1">
        <v>19.65</v>
      </c>
      <c r="C17" s="1">
        <v>42.69</v>
      </c>
      <c r="D17" s="1">
        <v>20.45</v>
      </c>
      <c r="E17" s="1">
        <v>19.51</v>
      </c>
      <c r="F17" s="1">
        <v>35.4</v>
      </c>
      <c r="G17" s="1">
        <v>20.19</v>
      </c>
      <c r="H17" s="1">
        <v>21.19</v>
      </c>
      <c r="I17" s="1">
        <v>39.05</v>
      </c>
    </row>
    <row r="18">
      <c r="A18" s="16" t="s">
        <v>18</v>
      </c>
      <c r="B18" s="1">
        <v>29.28</v>
      </c>
      <c r="C18" s="1">
        <v>39.36</v>
      </c>
      <c r="D18" s="1">
        <v>26.5</v>
      </c>
      <c r="E18" s="1">
        <v>18.46</v>
      </c>
      <c r="F18" s="1">
        <v>26.66</v>
      </c>
      <c r="G18" s="1">
        <v>23.46</v>
      </c>
      <c r="H18" s="1">
        <v>25.14</v>
      </c>
      <c r="I18" s="1">
        <v>39.08</v>
      </c>
    </row>
    <row r="19">
      <c r="A19" s="16" t="s">
        <v>237</v>
      </c>
      <c r="B19" s="1">
        <v>22.46</v>
      </c>
      <c r="C19" s="1">
        <v>43.8</v>
      </c>
      <c r="D19" s="1">
        <v>30.96</v>
      </c>
      <c r="E19" s="1">
        <v>24.16</v>
      </c>
      <c r="F19" s="1">
        <v>27.47</v>
      </c>
      <c r="G19" s="1">
        <v>24.95</v>
      </c>
      <c r="H19" s="1">
        <v>32.29</v>
      </c>
      <c r="I19" s="1">
        <v>31.24</v>
      </c>
    </row>
    <row r="20">
      <c r="A20" s="16" t="s">
        <v>27</v>
      </c>
      <c r="B20" s="1">
        <v>13.09</v>
      </c>
      <c r="C20" s="1">
        <v>56.15</v>
      </c>
      <c r="D20" s="1">
        <v>32.08</v>
      </c>
      <c r="E20" s="1">
        <v>26.55</v>
      </c>
      <c r="F20" s="1">
        <v>38.12</v>
      </c>
      <c r="G20" s="1">
        <v>19.79</v>
      </c>
      <c r="H20" s="1">
        <v>18.57</v>
      </c>
      <c r="I20" s="1">
        <v>27.63</v>
      </c>
    </row>
    <row r="21">
      <c r="A21" s="16" t="s">
        <v>241</v>
      </c>
      <c r="B21" s="1">
        <v>25.04</v>
      </c>
      <c r="C21" s="1">
        <v>36.29</v>
      </c>
      <c r="D21" s="1">
        <v>27.7</v>
      </c>
      <c r="E21" s="1">
        <v>22.81</v>
      </c>
      <c r="F21" s="1">
        <v>29.65</v>
      </c>
      <c r="G21" s="1">
        <v>19.07</v>
      </c>
      <c r="H21" s="1">
        <v>16.73</v>
      </c>
      <c r="I21" s="1">
        <v>40.65</v>
      </c>
    </row>
    <row r="22">
      <c r="A22" s="16" t="s">
        <v>231</v>
      </c>
      <c r="B22" s="1">
        <v>13.88</v>
      </c>
      <c r="C22" s="1">
        <v>60.89</v>
      </c>
      <c r="D22" s="1">
        <v>42.04</v>
      </c>
      <c r="E22" s="1">
        <v>23.11</v>
      </c>
      <c r="F22" s="1">
        <v>17.79</v>
      </c>
      <c r="G22" s="1">
        <v>33.02</v>
      </c>
      <c r="H22" s="1">
        <v>42.52</v>
      </c>
      <c r="I22" s="1">
        <v>23.19</v>
      </c>
    </row>
    <row r="23">
      <c r="A23" s="16" t="s">
        <v>234</v>
      </c>
      <c r="B23" s="1">
        <v>20.84</v>
      </c>
      <c r="C23" s="1">
        <v>50.77</v>
      </c>
      <c r="D23" s="1">
        <v>36.68</v>
      </c>
      <c r="E23" s="1">
        <v>21.51</v>
      </c>
      <c r="F23" s="1">
        <v>32.99</v>
      </c>
      <c r="G23" s="1">
        <v>23.7</v>
      </c>
      <c r="H23" s="1">
        <v>24.43</v>
      </c>
      <c r="I23" s="1">
        <v>29.81</v>
      </c>
    </row>
    <row r="24">
      <c r="A24" s="16" t="s">
        <v>247</v>
      </c>
      <c r="B24" s="1">
        <v>25.21</v>
      </c>
      <c r="C24" s="1">
        <v>41.24</v>
      </c>
      <c r="D24" s="1">
        <v>29.54</v>
      </c>
      <c r="E24" s="1">
        <v>19.71</v>
      </c>
      <c r="F24" s="1">
        <v>27.01</v>
      </c>
      <c r="G24" s="1">
        <v>16.38</v>
      </c>
      <c r="H24" s="1">
        <v>14.27</v>
      </c>
      <c r="I24" s="1">
        <v>40.65</v>
      </c>
    </row>
    <row r="25">
      <c r="A25" s="16" t="s">
        <v>240</v>
      </c>
      <c r="B25" s="1">
        <v>24.94</v>
      </c>
      <c r="C25" s="1">
        <v>46.26</v>
      </c>
      <c r="D25" s="1">
        <v>27.8</v>
      </c>
      <c r="E25" s="1">
        <v>13.18</v>
      </c>
      <c r="F25" s="1">
        <v>37.07</v>
      </c>
      <c r="G25" s="1">
        <v>18.88</v>
      </c>
      <c r="H25" s="1">
        <v>20.46</v>
      </c>
      <c r="I25" s="1">
        <v>31.84</v>
      </c>
    </row>
    <row r="26">
      <c r="A26" s="16" t="s">
        <v>30</v>
      </c>
      <c r="B26" s="1">
        <v>15.13</v>
      </c>
      <c r="C26" s="1">
        <v>52.25</v>
      </c>
      <c r="D26" s="1">
        <v>25.81</v>
      </c>
      <c r="E26" s="1">
        <v>11.75</v>
      </c>
      <c r="F26" s="1">
        <v>32.82</v>
      </c>
      <c r="G26" s="1">
        <v>28.99</v>
      </c>
      <c r="H26" s="1">
        <v>23.71</v>
      </c>
      <c r="I26" s="1">
        <v>35.55</v>
      </c>
    </row>
    <row r="27">
      <c r="A27" s="16" t="s">
        <v>246</v>
      </c>
      <c r="B27" s="1">
        <v>20.65</v>
      </c>
      <c r="C27" s="1">
        <v>41.35</v>
      </c>
      <c r="D27" s="1">
        <v>29.65</v>
      </c>
      <c r="E27" s="1">
        <v>18.87</v>
      </c>
      <c r="F27" s="1">
        <v>34.83</v>
      </c>
      <c r="G27" s="1">
        <v>30.19</v>
      </c>
      <c r="H27" s="1">
        <v>19.95</v>
      </c>
      <c r="I27" s="1">
        <v>34.62</v>
      </c>
    </row>
    <row r="28">
      <c r="A28" s="16" t="s">
        <v>19</v>
      </c>
      <c r="B28" s="1">
        <v>25.01</v>
      </c>
      <c r="C28" s="1">
        <v>40.04</v>
      </c>
      <c r="D28" s="1">
        <v>40.76</v>
      </c>
      <c r="E28" s="1">
        <v>16.79</v>
      </c>
      <c r="F28" s="1">
        <v>13.5</v>
      </c>
      <c r="G28" s="1">
        <v>30.73</v>
      </c>
      <c r="H28" s="1">
        <v>29.69</v>
      </c>
      <c r="I28" s="1">
        <v>27.63</v>
      </c>
    </row>
    <row r="29">
      <c r="A29" s="16" t="s">
        <v>244</v>
      </c>
      <c r="B29" s="1">
        <v>24.18</v>
      </c>
      <c r="C29" s="1">
        <v>43.26</v>
      </c>
      <c r="D29" s="1">
        <v>31.31</v>
      </c>
      <c r="E29" s="1">
        <v>15.85</v>
      </c>
      <c r="F29" s="1">
        <v>35.61</v>
      </c>
      <c r="G29" s="1">
        <v>17.66</v>
      </c>
      <c r="H29" s="1">
        <v>21.41</v>
      </c>
      <c r="I29" s="1">
        <v>30.19</v>
      </c>
    </row>
    <row r="30">
      <c r="A30" s="16" t="s">
        <v>25</v>
      </c>
      <c r="B30" s="1">
        <v>20.57</v>
      </c>
      <c r="C30" s="1">
        <v>37.97</v>
      </c>
      <c r="D30" s="1">
        <v>24.66</v>
      </c>
      <c r="E30" s="1">
        <v>22.57</v>
      </c>
      <c r="F30" s="1">
        <v>30.88</v>
      </c>
      <c r="G30" s="1">
        <v>25.2</v>
      </c>
      <c r="H30" s="1">
        <v>27.27</v>
      </c>
      <c r="I30" s="1">
        <v>30.42</v>
      </c>
    </row>
    <row r="31">
      <c r="A31" s="16" t="s">
        <v>14</v>
      </c>
      <c r="B31" s="1">
        <v>16.4</v>
      </c>
      <c r="C31" s="1">
        <v>49.09</v>
      </c>
      <c r="D31" s="1">
        <v>33.27</v>
      </c>
      <c r="E31" s="1">
        <v>19.44</v>
      </c>
      <c r="F31" s="1">
        <v>33.01</v>
      </c>
      <c r="G31" s="1">
        <v>23.41</v>
      </c>
      <c r="H31" s="1">
        <v>25.81</v>
      </c>
      <c r="I31" s="1">
        <v>33.09</v>
      </c>
    </row>
    <row r="312">
      <c r="A312" s="63"/>
      <c r="E312" s="63"/>
      <c r="F312" s="63"/>
      <c r="H312" s="63"/>
      <c r="J312" s="63"/>
    </row>
    <row r="313">
      <c r="A313" s="63"/>
      <c r="D313" s="63"/>
      <c r="E313" s="63"/>
      <c r="F313" s="63"/>
      <c r="H313" s="63"/>
      <c r="J313" s="63"/>
    </row>
    <row r="314">
      <c r="A314" s="63"/>
      <c r="D314" s="63"/>
      <c r="E314" s="63"/>
      <c r="F314" s="63"/>
      <c r="H314" s="63"/>
      <c r="J314" s="63"/>
    </row>
    <row r="315">
      <c r="A315" s="63"/>
      <c r="D315" s="63"/>
      <c r="E315" s="63"/>
      <c r="F315" s="63"/>
      <c r="H315" s="63"/>
      <c r="J315" s="63"/>
    </row>
    <row r="316">
      <c r="A316" s="63"/>
      <c r="D316" s="63"/>
      <c r="E316" s="63"/>
      <c r="F316" s="63"/>
      <c r="H316" s="63"/>
      <c r="J316" s="63"/>
    </row>
    <row r="317">
      <c r="A317" s="63"/>
      <c r="D317" s="63"/>
      <c r="E317" s="63"/>
      <c r="F317" s="63"/>
      <c r="H317" s="63"/>
      <c r="J317" s="63"/>
    </row>
    <row r="318">
      <c r="A318" s="63"/>
      <c r="D318" s="63"/>
      <c r="E318" s="63"/>
      <c r="F318" s="63"/>
      <c r="H318" s="63"/>
      <c r="J318" s="63"/>
    </row>
    <row r="319">
      <c r="A319" s="63"/>
      <c r="D319" s="63"/>
      <c r="E319" s="63"/>
      <c r="F319" s="63"/>
      <c r="H319" s="63"/>
      <c r="J319" s="63"/>
    </row>
    <row r="320">
      <c r="A320" s="63"/>
      <c r="D320" s="63"/>
      <c r="E320" s="63"/>
      <c r="F320" s="63"/>
      <c r="H320" s="63"/>
      <c r="J320" s="63"/>
    </row>
    <row r="321">
      <c r="A321" s="63"/>
      <c r="D321" s="63"/>
      <c r="E321" s="63"/>
      <c r="F321" s="63"/>
      <c r="H321" s="63"/>
      <c r="J321" s="63"/>
    </row>
    <row r="322">
      <c r="A322" s="63"/>
      <c r="D322" s="63"/>
      <c r="E322" s="63"/>
      <c r="F322" s="63"/>
      <c r="H322" s="63"/>
      <c r="J322" s="63"/>
    </row>
    <row r="323">
      <c r="A323" s="63"/>
      <c r="D323" s="63"/>
      <c r="E323" s="63"/>
      <c r="F323" s="63"/>
      <c r="H323" s="63"/>
      <c r="J323" s="63"/>
    </row>
    <row r="324">
      <c r="A324" s="63"/>
      <c r="D324" s="63"/>
      <c r="E324" s="63"/>
      <c r="F324" s="63"/>
      <c r="H324" s="63"/>
      <c r="J324" s="63"/>
    </row>
    <row r="325">
      <c r="A325" s="63"/>
      <c r="D325" s="63"/>
      <c r="E325" s="63"/>
      <c r="F325" s="63"/>
      <c r="H325" s="63"/>
      <c r="J325" s="63"/>
    </row>
    <row r="326">
      <c r="A326" s="63"/>
      <c r="D326" s="63"/>
      <c r="E326" s="63"/>
      <c r="F326" s="63"/>
      <c r="H326" s="63"/>
      <c r="J326" s="63"/>
    </row>
    <row r="327">
      <c r="A327" s="63"/>
      <c r="D327" s="63"/>
      <c r="E327" s="63"/>
      <c r="F327" s="63"/>
      <c r="H327" s="63"/>
      <c r="J327" s="63"/>
    </row>
    <row r="328">
      <c r="A328" s="63"/>
      <c r="D328" s="63"/>
      <c r="E328" s="63"/>
      <c r="F328" s="63"/>
      <c r="H328" s="63"/>
      <c r="J328" s="63"/>
    </row>
    <row r="329">
      <c r="A329" s="63"/>
      <c r="D329" s="63"/>
      <c r="E329" s="63"/>
      <c r="F329" s="63"/>
      <c r="H329" s="63"/>
      <c r="J329" s="63"/>
    </row>
    <row r="330">
      <c r="A330" s="63"/>
      <c r="D330" s="63"/>
      <c r="E330" s="63"/>
      <c r="F330" s="63"/>
      <c r="H330" s="63"/>
      <c r="J330" s="63"/>
    </row>
    <row r="331">
      <c r="A331" s="63"/>
      <c r="D331" s="63"/>
      <c r="E331" s="63"/>
      <c r="F331" s="63"/>
      <c r="H331" s="63"/>
      <c r="J331" s="63"/>
    </row>
    <row r="332">
      <c r="A332" s="63"/>
      <c r="D332" s="63"/>
      <c r="E332" s="63"/>
      <c r="F332" s="63"/>
      <c r="H332" s="63"/>
      <c r="J332" s="63"/>
    </row>
    <row r="333">
      <c r="A333" s="63"/>
      <c r="D333" s="63"/>
      <c r="E333" s="63"/>
      <c r="F333" s="63"/>
      <c r="H333" s="63"/>
      <c r="J333" s="63"/>
    </row>
    <row r="334">
      <c r="A334" s="63"/>
      <c r="D334" s="63"/>
      <c r="E334" s="63"/>
      <c r="F334" s="63"/>
      <c r="H334" s="63"/>
      <c r="J334" s="63"/>
    </row>
    <row r="335">
      <c r="A335" s="63"/>
      <c r="D335" s="63"/>
      <c r="E335" s="63"/>
      <c r="F335" s="63"/>
      <c r="H335" s="63"/>
      <c r="J335" s="63"/>
    </row>
    <row r="336">
      <c r="A336" s="63"/>
      <c r="D336" s="63"/>
      <c r="E336" s="63"/>
      <c r="F336" s="63"/>
      <c r="H336" s="63"/>
      <c r="J336" s="63"/>
    </row>
    <row r="337">
      <c r="A337" s="63"/>
      <c r="D337" s="63"/>
      <c r="E337" s="63"/>
      <c r="F337" s="63"/>
      <c r="H337" s="63"/>
      <c r="J337" s="63"/>
    </row>
    <row r="338">
      <c r="A338" s="63"/>
      <c r="D338" s="63"/>
      <c r="E338" s="63"/>
      <c r="F338" s="63"/>
      <c r="H338" s="63"/>
      <c r="J338" s="63"/>
    </row>
    <row r="339">
      <c r="A339" s="63"/>
      <c r="D339" s="63"/>
      <c r="E339" s="63"/>
      <c r="F339" s="63"/>
      <c r="H339" s="63"/>
      <c r="J339" s="63"/>
    </row>
    <row r="340">
      <c r="A340" s="63"/>
      <c r="D340" s="63"/>
      <c r="E340" s="63"/>
      <c r="F340" s="63"/>
      <c r="H340" s="63"/>
      <c r="J340" s="63"/>
    </row>
    <row r="341">
      <c r="A341" s="63"/>
      <c r="D341" s="63"/>
      <c r="E341" s="63"/>
      <c r="F341" s="63"/>
      <c r="H341" s="63"/>
      <c r="J341" s="63"/>
    </row>
    <row r="342">
      <c r="D342" s="6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1040</v>
      </c>
      <c r="B1" s="16" t="s">
        <v>1040</v>
      </c>
      <c r="C1" s="16" t="s">
        <v>1040</v>
      </c>
      <c r="D1" s="16" t="s">
        <v>1040</v>
      </c>
      <c r="E1" s="16" t="s">
        <v>1040</v>
      </c>
      <c r="F1" s="16" t="s">
        <v>1040</v>
      </c>
      <c r="G1" s="16" t="s">
        <v>1040</v>
      </c>
      <c r="H1" s="16" t="s">
        <v>1040</v>
      </c>
    </row>
    <row r="2">
      <c r="A2" s="16" t="s">
        <v>1041</v>
      </c>
      <c r="B2" s="16" t="s">
        <v>1041</v>
      </c>
      <c r="C2" s="16" t="s">
        <v>1041</v>
      </c>
      <c r="D2" s="16" t="s">
        <v>1041</v>
      </c>
      <c r="E2" s="16" t="s">
        <v>1041</v>
      </c>
      <c r="F2" s="16" t="s">
        <v>1041</v>
      </c>
      <c r="G2" s="16" t="s">
        <v>1041</v>
      </c>
      <c r="H2" s="16" t="s">
        <v>1041</v>
      </c>
    </row>
    <row r="3">
      <c r="A3" s="16" t="s">
        <v>1042</v>
      </c>
      <c r="B3" s="16" t="s">
        <v>1042</v>
      </c>
      <c r="C3" s="16" t="s">
        <v>1042</v>
      </c>
      <c r="D3" s="16" t="s">
        <v>1042</v>
      </c>
      <c r="E3" s="16" t="s">
        <v>1042</v>
      </c>
      <c r="F3" s="16" t="s">
        <v>1042</v>
      </c>
      <c r="G3" s="16" t="s">
        <v>1042</v>
      </c>
      <c r="H3" s="16" t="s">
        <v>1042</v>
      </c>
    </row>
    <row r="4">
      <c r="A4" s="16" t="s">
        <v>1043</v>
      </c>
      <c r="B4" s="16" t="s">
        <v>1043</v>
      </c>
      <c r="C4" s="16" t="s">
        <v>1043</v>
      </c>
      <c r="D4" s="16" t="s">
        <v>1043</v>
      </c>
      <c r="E4" s="16" t="s">
        <v>1043</v>
      </c>
      <c r="F4" s="16" t="s">
        <v>1043</v>
      </c>
      <c r="G4" s="16" t="s">
        <v>1043</v>
      </c>
      <c r="H4" s="16" t="s">
        <v>1043</v>
      </c>
    </row>
    <row r="5">
      <c r="A5" s="16" t="s">
        <v>1044</v>
      </c>
      <c r="B5" s="16" t="s">
        <v>1044</v>
      </c>
      <c r="C5" s="16" t="s">
        <v>1044</v>
      </c>
      <c r="D5" s="16" t="s">
        <v>1044</v>
      </c>
      <c r="E5" s="16" t="s">
        <v>1044</v>
      </c>
      <c r="F5" s="16" t="s">
        <v>1044</v>
      </c>
      <c r="G5" s="16" t="s">
        <v>1044</v>
      </c>
      <c r="H5" s="16" t="s">
        <v>1044</v>
      </c>
    </row>
    <row r="6">
      <c r="A6" s="16" t="s">
        <v>1045</v>
      </c>
      <c r="B6" s="16" t="s">
        <v>1045</v>
      </c>
      <c r="C6" s="16" t="s">
        <v>1045</v>
      </c>
      <c r="D6" s="16" t="s">
        <v>1045</v>
      </c>
      <c r="E6" s="16" t="s">
        <v>1045</v>
      </c>
      <c r="F6" s="16" t="s">
        <v>1045</v>
      </c>
      <c r="G6" s="16" t="s">
        <v>1045</v>
      </c>
      <c r="H6" s="16" t="s">
        <v>1045</v>
      </c>
    </row>
    <row r="7">
      <c r="A7" s="16" t="s">
        <v>1046</v>
      </c>
      <c r="B7" s="16" t="s">
        <v>1046</v>
      </c>
      <c r="C7" s="16" t="s">
        <v>1046</v>
      </c>
      <c r="D7" s="16" t="s">
        <v>1046</v>
      </c>
      <c r="E7" s="16" t="s">
        <v>1046</v>
      </c>
      <c r="F7" s="16" t="s">
        <v>1046</v>
      </c>
      <c r="G7" s="16" t="s">
        <v>1046</v>
      </c>
      <c r="H7" s="16" t="s">
        <v>1046</v>
      </c>
    </row>
    <row r="8">
      <c r="A8" s="16" t="s">
        <v>1047</v>
      </c>
      <c r="B8" s="16" t="s">
        <v>1047</v>
      </c>
      <c r="C8" s="16" t="s">
        <v>1047</v>
      </c>
      <c r="D8" s="16" t="s">
        <v>1047</v>
      </c>
      <c r="E8" s="16" t="s">
        <v>1047</v>
      </c>
      <c r="F8" s="16" t="s">
        <v>1047</v>
      </c>
      <c r="G8" s="16" t="s">
        <v>1047</v>
      </c>
      <c r="H8" s="16" t="s">
        <v>1047</v>
      </c>
    </row>
    <row r="9">
      <c r="A9" s="16" t="s">
        <v>1048</v>
      </c>
      <c r="B9" s="16" t="s">
        <v>1048</v>
      </c>
      <c r="C9" s="16" t="s">
        <v>1048</v>
      </c>
      <c r="D9" s="16" t="s">
        <v>1048</v>
      </c>
      <c r="E9" s="16" t="s">
        <v>1048</v>
      </c>
      <c r="F9" s="16" t="s">
        <v>1048</v>
      </c>
      <c r="G9" s="16" t="s">
        <v>1048</v>
      </c>
      <c r="H9" s="16" t="s">
        <v>1048</v>
      </c>
    </row>
    <row r="10">
      <c r="A10" s="16" t="s">
        <v>1049</v>
      </c>
      <c r="B10" s="16" t="s">
        <v>1049</v>
      </c>
      <c r="C10" s="16" t="s">
        <v>1049</v>
      </c>
      <c r="D10" s="16" t="s">
        <v>1049</v>
      </c>
      <c r="E10" s="16" t="s">
        <v>1049</v>
      </c>
      <c r="F10" s="16" t="s">
        <v>1049</v>
      </c>
      <c r="G10" s="16" t="s">
        <v>1049</v>
      </c>
      <c r="H10" s="16" t="s">
        <v>1049</v>
      </c>
    </row>
    <row r="11">
      <c r="A11" s="16" t="s">
        <v>1050</v>
      </c>
      <c r="B11" s="16" t="s">
        <v>1050</v>
      </c>
      <c r="C11" s="16" t="s">
        <v>1050</v>
      </c>
      <c r="D11" s="16" t="s">
        <v>1050</v>
      </c>
      <c r="E11" s="16" t="s">
        <v>1050</v>
      </c>
      <c r="F11" s="16" t="s">
        <v>1050</v>
      </c>
      <c r="G11" s="16" t="s">
        <v>1050</v>
      </c>
      <c r="H11" s="16" t="s">
        <v>1050</v>
      </c>
    </row>
    <row r="12">
      <c r="A12" s="16" t="s">
        <v>1051</v>
      </c>
      <c r="B12" s="16" t="s">
        <v>1051</v>
      </c>
      <c r="C12" s="16" t="s">
        <v>1051</v>
      </c>
      <c r="D12" s="16" t="s">
        <v>1051</v>
      </c>
      <c r="E12" s="16" t="s">
        <v>1051</v>
      </c>
      <c r="F12" s="16" t="s">
        <v>1051</v>
      </c>
      <c r="G12" s="16" t="s">
        <v>1051</v>
      </c>
      <c r="H12" s="16" t="s">
        <v>1051</v>
      </c>
    </row>
    <row r="13">
      <c r="A13" s="16" t="s">
        <v>1052</v>
      </c>
      <c r="B13" s="16" t="s">
        <v>1052</v>
      </c>
      <c r="C13" s="16" t="s">
        <v>1052</v>
      </c>
      <c r="D13" s="16" t="s">
        <v>1052</v>
      </c>
      <c r="E13" s="16" t="s">
        <v>1052</v>
      </c>
      <c r="F13" s="16" t="s">
        <v>1052</v>
      </c>
      <c r="G13" s="16" t="s">
        <v>1052</v>
      </c>
      <c r="H13" s="16" t="s">
        <v>1052</v>
      </c>
    </row>
    <row r="14">
      <c r="A14" s="16" t="s">
        <v>1053</v>
      </c>
      <c r="B14" s="16" t="s">
        <v>1053</v>
      </c>
      <c r="C14" s="16" t="s">
        <v>1053</v>
      </c>
      <c r="D14" s="16" t="s">
        <v>1053</v>
      </c>
      <c r="E14" s="16" t="s">
        <v>1053</v>
      </c>
      <c r="F14" s="16" t="s">
        <v>1053</v>
      </c>
      <c r="G14" s="16" t="s">
        <v>1053</v>
      </c>
      <c r="H14" s="16" t="s">
        <v>1053</v>
      </c>
    </row>
    <row r="15">
      <c r="A15" s="16" t="s">
        <v>1054</v>
      </c>
      <c r="B15" s="16" t="s">
        <v>1054</v>
      </c>
      <c r="C15" s="16" t="s">
        <v>1054</v>
      </c>
      <c r="D15" s="16" t="s">
        <v>1054</v>
      </c>
      <c r="E15" s="16" t="s">
        <v>1054</v>
      </c>
      <c r="F15" s="16" t="s">
        <v>1054</v>
      </c>
      <c r="G15" s="16" t="s">
        <v>1054</v>
      </c>
      <c r="H15" s="16" t="s">
        <v>1054</v>
      </c>
    </row>
    <row r="16">
      <c r="A16" s="16" t="s">
        <v>1055</v>
      </c>
      <c r="B16" s="16" t="s">
        <v>1055</v>
      </c>
      <c r="C16" s="16" t="s">
        <v>1055</v>
      </c>
      <c r="D16" s="16" t="s">
        <v>1055</v>
      </c>
      <c r="E16" s="16" t="s">
        <v>1055</v>
      </c>
      <c r="F16" s="16" t="s">
        <v>1055</v>
      </c>
      <c r="G16" s="16" t="s">
        <v>1055</v>
      </c>
      <c r="H16" s="16" t="s">
        <v>1055</v>
      </c>
    </row>
    <row r="17">
      <c r="A17" s="16" t="s">
        <v>1056</v>
      </c>
      <c r="B17" s="16" t="s">
        <v>1056</v>
      </c>
      <c r="C17" s="16" t="s">
        <v>1056</v>
      </c>
      <c r="D17" s="16" t="s">
        <v>1056</v>
      </c>
      <c r="E17" s="16" t="s">
        <v>1056</v>
      </c>
      <c r="F17" s="16" t="s">
        <v>1056</v>
      </c>
      <c r="G17" s="16" t="s">
        <v>1056</v>
      </c>
      <c r="H17" s="16" t="s">
        <v>1056</v>
      </c>
    </row>
    <row r="18">
      <c r="A18" s="16" t="s">
        <v>1057</v>
      </c>
      <c r="B18" s="16" t="s">
        <v>1057</v>
      </c>
      <c r="C18" s="16" t="s">
        <v>1057</v>
      </c>
      <c r="D18" s="16" t="s">
        <v>1057</v>
      </c>
      <c r="E18" s="16" t="s">
        <v>1057</v>
      </c>
      <c r="F18" s="16" t="s">
        <v>1057</v>
      </c>
      <c r="G18" s="16" t="s">
        <v>1057</v>
      </c>
      <c r="H18" s="16" t="s">
        <v>1057</v>
      </c>
    </row>
    <row r="19">
      <c r="A19" s="16" t="s">
        <v>1058</v>
      </c>
      <c r="B19" s="16" t="s">
        <v>1058</v>
      </c>
      <c r="C19" s="16" t="s">
        <v>1058</v>
      </c>
      <c r="D19" s="16" t="s">
        <v>1058</v>
      </c>
      <c r="E19" s="16" t="s">
        <v>1058</v>
      </c>
      <c r="F19" s="16" t="s">
        <v>1058</v>
      </c>
      <c r="G19" s="16" t="s">
        <v>1058</v>
      </c>
      <c r="H19" s="16" t="s">
        <v>1058</v>
      </c>
    </row>
    <row r="20">
      <c r="A20" s="16" t="s">
        <v>1059</v>
      </c>
      <c r="B20" s="16" t="s">
        <v>1059</v>
      </c>
      <c r="C20" s="16" t="s">
        <v>1059</v>
      </c>
      <c r="D20" s="16" t="s">
        <v>1059</v>
      </c>
      <c r="E20" s="16" t="s">
        <v>1059</v>
      </c>
      <c r="F20" s="16" t="s">
        <v>1059</v>
      </c>
      <c r="G20" s="16" t="s">
        <v>1059</v>
      </c>
      <c r="H20" s="16" t="s">
        <v>1059</v>
      </c>
    </row>
    <row r="21">
      <c r="A21" s="16" t="s">
        <v>1060</v>
      </c>
      <c r="B21" s="16" t="s">
        <v>1060</v>
      </c>
      <c r="C21" s="16" t="s">
        <v>1060</v>
      </c>
      <c r="D21" s="16" t="s">
        <v>1060</v>
      </c>
      <c r="E21" s="16" t="s">
        <v>1060</v>
      </c>
      <c r="F21" s="16" t="s">
        <v>1060</v>
      </c>
      <c r="G21" s="16" t="s">
        <v>1060</v>
      </c>
      <c r="H21" s="16" t="s">
        <v>1060</v>
      </c>
    </row>
    <row r="22">
      <c r="A22" s="16" t="s">
        <v>1061</v>
      </c>
      <c r="B22" s="16" t="s">
        <v>1061</v>
      </c>
      <c r="C22" s="16" t="s">
        <v>1061</v>
      </c>
      <c r="D22" s="16" t="s">
        <v>1061</v>
      </c>
      <c r="E22" s="16" t="s">
        <v>1061</v>
      </c>
      <c r="F22" s="16" t="s">
        <v>1061</v>
      </c>
      <c r="G22" s="16" t="s">
        <v>1061</v>
      </c>
      <c r="H22" s="16" t="s">
        <v>1061</v>
      </c>
    </row>
    <row r="23">
      <c r="A23" s="16" t="s">
        <v>1062</v>
      </c>
      <c r="B23" s="16" t="s">
        <v>1062</v>
      </c>
      <c r="C23" s="16" t="s">
        <v>1062</v>
      </c>
      <c r="D23" s="16" t="s">
        <v>1062</v>
      </c>
      <c r="E23" s="16" t="s">
        <v>1062</v>
      </c>
      <c r="F23" s="16" t="s">
        <v>1062</v>
      </c>
      <c r="G23" s="16" t="s">
        <v>1062</v>
      </c>
      <c r="H23" s="16" t="s">
        <v>1062</v>
      </c>
    </row>
    <row r="24">
      <c r="A24" s="16" t="s">
        <v>1063</v>
      </c>
      <c r="B24" s="16" t="s">
        <v>1063</v>
      </c>
      <c r="C24" s="16" t="s">
        <v>1063</v>
      </c>
      <c r="D24" s="16" t="s">
        <v>1063</v>
      </c>
      <c r="E24" s="16" t="s">
        <v>1063</v>
      </c>
      <c r="F24" s="16" t="s">
        <v>1063</v>
      </c>
      <c r="G24" s="16" t="s">
        <v>1063</v>
      </c>
      <c r="H24" s="16" t="s">
        <v>1063</v>
      </c>
    </row>
    <row r="25">
      <c r="A25" s="16" t="s">
        <v>1064</v>
      </c>
      <c r="B25" s="16" t="s">
        <v>1064</v>
      </c>
      <c r="C25" s="16" t="s">
        <v>1064</v>
      </c>
      <c r="D25" s="16" t="s">
        <v>1064</v>
      </c>
      <c r="E25" s="16" t="s">
        <v>1064</v>
      </c>
      <c r="F25" s="16" t="s">
        <v>1064</v>
      </c>
      <c r="G25" s="16" t="s">
        <v>1064</v>
      </c>
      <c r="H25" s="16" t="s">
        <v>1064</v>
      </c>
    </row>
    <row r="26">
      <c r="A26" s="16" t="s">
        <v>1065</v>
      </c>
      <c r="B26" s="16" t="s">
        <v>1065</v>
      </c>
      <c r="C26" s="16" t="s">
        <v>1065</v>
      </c>
      <c r="D26" s="16" t="s">
        <v>1065</v>
      </c>
      <c r="E26" s="16" t="s">
        <v>1065</v>
      </c>
      <c r="F26" s="16" t="s">
        <v>1065</v>
      </c>
      <c r="G26" s="16" t="s">
        <v>1065</v>
      </c>
      <c r="H26" s="16" t="s">
        <v>1065</v>
      </c>
    </row>
    <row r="27">
      <c r="A27" s="16" t="s">
        <v>1066</v>
      </c>
      <c r="B27" s="16" t="s">
        <v>1066</v>
      </c>
      <c r="C27" s="16" t="s">
        <v>1066</v>
      </c>
      <c r="D27" s="16" t="s">
        <v>1066</v>
      </c>
      <c r="E27" s="16" t="s">
        <v>1066</v>
      </c>
      <c r="F27" s="16" t="s">
        <v>1066</v>
      </c>
      <c r="G27" s="16" t="s">
        <v>1066</v>
      </c>
      <c r="H27" s="16" t="s">
        <v>1066</v>
      </c>
    </row>
    <row r="28">
      <c r="A28" s="16" t="s">
        <v>1067</v>
      </c>
      <c r="B28" s="16" t="s">
        <v>1067</v>
      </c>
      <c r="C28" s="16" t="s">
        <v>1067</v>
      </c>
      <c r="D28" s="16" t="s">
        <v>1067</v>
      </c>
      <c r="E28" s="16" t="s">
        <v>1067</v>
      </c>
      <c r="F28" s="16" t="s">
        <v>1067</v>
      </c>
      <c r="G28" s="16" t="s">
        <v>1067</v>
      </c>
      <c r="H28" s="16" t="s">
        <v>1067</v>
      </c>
    </row>
    <row r="29">
      <c r="A29" s="16" t="s">
        <v>1068</v>
      </c>
      <c r="B29" s="16" t="s">
        <v>1068</v>
      </c>
      <c r="C29" s="16" t="s">
        <v>1068</v>
      </c>
      <c r="D29" s="16" t="s">
        <v>1068</v>
      </c>
      <c r="E29" s="16" t="s">
        <v>1068</v>
      </c>
      <c r="F29" s="16" t="s">
        <v>1068</v>
      </c>
      <c r="G29" s="16" t="s">
        <v>1068</v>
      </c>
      <c r="H29" s="16" t="s">
        <v>1068</v>
      </c>
    </row>
    <row r="30">
      <c r="A30" s="16" t="s">
        <v>1069</v>
      </c>
      <c r="B30" s="16" t="s">
        <v>1069</v>
      </c>
      <c r="C30" s="16" t="s">
        <v>1069</v>
      </c>
      <c r="D30" s="16" t="s">
        <v>1069</v>
      </c>
      <c r="E30" s="16" t="s">
        <v>1069</v>
      </c>
      <c r="F30" s="16" t="s">
        <v>1069</v>
      </c>
      <c r="G30" s="16" t="s">
        <v>1069</v>
      </c>
      <c r="H30" s="16" t="s">
        <v>1069</v>
      </c>
    </row>
    <row r="31">
      <c r="A31" s="16" t="s">
        <v>1070</v>
      </c>
      <c r="B31" s="16" t="s">
        <v>1070</v>
      </c>
      <c r="C31" s="16" t="s">
        <v>1070</v>
      </c>
      <c r="D31" s="16" t="s">
        <v>1070</v>
      </c>
      <c r="E31" s="16" t="s">
        <v>1070</v>
      </c>
      <c r="F31" s="16" t="s">
        <v>1070</v>
      </c>
      <c r="G31" s="16" t="s">
        <v>1070</v>
      </c>
      <c r="H31" s="16" t="s">
        <v>1070</v>
      </c>
    </row>
    <row r="32">
      <c r="A32" s="16" t="s">
        <v>1071</v>
      </c>
      <c r="B32" s="16" t="s">
        <v>1071</v>
      </c>
      <c r="C32" s="16" t="s">
        <v>1071</v>
      </c>
      <c r="D32" s="16" t="s">
        <v>1071</v>
      </c>
      <c r="E32" s="16" t="s">
        <v>1071</v>
      </c>
      <c r="F32" s="16" t="s">
        <v>1071</v>
      </c>
      <c r="G32" s="16" t="s">
        <v>1071</v>
      </c>
      <c r="H32" s="16" t="s">
        <v>1071</v>
      </c>
    </row>
    <row r="33">
      <c r="A33" s="16">
        <v>14.0</v>
      </c>
      <c r="B33" s="16">
        <v>14.0</v>
      </c>
      <c r="C33" s="16">
        <v>14.0</v>
      </c>
      <c r="D33" s="16">
        <v>14.0</v>
      </c>
      <c r="E33" s="16">
        <v>14.0</v>
      </c>
      <c r="F33" s="16">
        <v>14.0</v>
      </c>
      <c r="G33" s="16">
        <v>14.0</v>
      </c>
      <c r="H33" s="16">
        <v>14.0</v>
      </c>
    </row>
    <row r="34">
      <c r="A34" s="16">
        <v>14.0</v>
      </c>
      <c r="B34" s="16">
        <v>14.0</v>
      </c>
      <c r="C34" s="16">
        <v>14.0</v>
      </c>
      <c r="D34" s="16">
        <v>14.0</v>
      </c>
      <c r="E34" s="16">
        <v>14.0</v>
      </c>
      <c r="F34" s="16">
        <v>14.0</v>
      </c>
      <c r="G34" s="16">
        <v>14.0</v>
      </c>
      <c r="H34" s="16">
        <v>14.0</v>
      </c>
    </row>
    <row r="35">
      <c r="A35" s="16">
        <v>15.0</v>
      </c>
      <c r="B35" s="16">
        <v>15.0</v>
      </c>
      <c r="C35" s="16">
        <v>15.0</v>
      </c>
      <c r="D35" s="16">
        <v>15.0</v>
      </c>
      <c r="E35" s="16">
        <v>15.0</v>
      </c>
      <c r="F35" s="16">
        <v>15.0</v>
      </c>
      <c r="G35" s="16">
        <v>15.0</v>
      </c>
      <c r="H35" s="16">
        <v>15.0</v>
      </c>
    </row>
    <row r="36">
      <c r="A36" s="16">
        <v>16.0</v>
      </c>
      <c r="B36" s="16">
        <v>16.0</v>
      </c>
      <c r="C36" s="16">
        <v>16.0</v>
      </c>
      <c r="D36" s="16">
        <v>16.0</v>
      </c>
      <c r="E36" s="16">
        <v>16.0</v>
      </c>
      <c r="F36" s="16">
        <v>16.0</v>
      </c>
      <c r="G36" s="16">
        <v>16.0</v>
      </c>
      <c r="H36" s="16">
        <v>16.0</v>
      </c>
    </row>
    <row r="37">
      <c r="A37" s="16">
        <v>16.0</v>
      </c>
      <c r="B37" s="16">
        <v>16.0</v>
      </c>
      <c r="C37" s="16">
        <v>16.0</v>
      </c>
      <c r="D37" s="16">
        <v>16.0</v>
      </c>
      <c r="E37" s="16">
        <v>16.0</v>
      </c>
      <c r="F37" s="16">
        <v>16.0</v>
      </c>
      <c r="G37" s="16">
        <v>16.0</v>
      </c>
      <c r="H37" s="16">
        <v>16.0</v>
      </c>
    </row>
    <row r="38">
      <c r="A38" s="16">
        <v>15.0</v>
      </c>
      <c r="B38" s="16">
        <v>15.0</v>
      </c>
      <c r="C38" s="16">
        <v>15.0</v>
      </c>
      <c r="D38" s="16">
        <v>15.0</v>
      </c>
      <c r="E38" s="16">
        <v>15.0</v>
      </c>
      <c r="F38" s="16">
        <v>15.0</v>
      </c>
      <c r="G38" s="16">
        <v>15.0</v>
      </c>
      <c r="H38" s="16">
        <v>15.0</v>
      </c>
    </row>
    <row r="39">
      <c r="A39" s="16">
        <v>16.0</v>
      </c>
      <c r="B39" s="16">
        <v>16.0</v>
      </c>
      <c r="C39" s="16">
        <v>16.0</v>
      </c>
      <c r="D39" s="16">
        <v>16.0</v>
      </c>
      <c r="E39" s="16">
        <v>16.0</v>
      </c>
      <c r="F39" s="16">
        <v>16.0</v>
      </c>
      <c r="G39" s="16">
        <v>16.0</v>
      </c>
      <c r="H39" s="16">
        <v>16.0</v>
      </c>
    </row>
    <row r="40">
      <c r="A40" s="16">
        <v>15.0</v>
      </c>
      <c r="B40" s="16">
        <v>15.0</v>
      </c>
      <c r="C40" s="16">
        <v>15.0</v>
      </c>
      <c r="D40" s="16">
        <v>15.0</v>
      </c>
      <c r="E40" s="16">
        <v>15.0</v>
      </c>
      <c r="F40" s="16">
        <v>15.0</v>
      </c>
      <c r="G40" s="16">
        <v>15.0</v>
      </c>
      <c r="H40" s="16">
        <v>15.0</v>
      </c>
    </row>
    <row r="41">
      <c r="A41" s="16">
        <v>15.0</v>
      </c>
      <c r="B41" s="16">
        <v>15.0</v>
      </c>
      <c r="C41" s="16">
        <v>15.0</v>
      </c>
      <c r="D41" s="16">
        <v>15.0</v>
      </c>
      <c r="E41" s="16">
        <v>15.0</v>
      </c>
      <c r="F41" s="16">
        <v>15.0</v>
      </c>
      <c r="G41" s="16">
        <v>15.0</v>
      </c>
      <c r="H41" s="16">
        <v>15.0</v>
      </c>
    </row>
    <row r="42">
      <c r="A42" s="16">
        <v>15.0</v>
      </c>
      <c r="B42" s="16">
        <v>15.0</v>
      </c>
      <c r="C42" s="16">
        <v>15.0</v>
      </c>
      <c r="D42" s="16">
        <v>15.0</v>
      </c>
      <c r="E42" s="16">
        <v>15.0</v>
      </c>
      <c r="F42" s="16">
        <v>15.0</v>
      </c>
      <c r="G42" s="16">
        <v>15.0</v>
      </c>
      <c r="H42" s="16">
        <v>15.0</v>
      </c>
    </row>
    <row r="43">
      <c r="A43" s="16">
        <v>15.0</v>
      </c>
      <c r="B43" s="16">
        <v>15.0</v>
      </c>
      <c r="C43" s="16">
        <v>15.0</v>
      </c>
      <c r="D43" s="16">
        <v>15.0</v>
      </c>
      <c r="E43" s="16">
        <v>15.0</v>
      </c>
      <c r="F43" s="16">
        <v>15.0</v>
      </c>
      <c r="G43" s="16">
        <v>15.0</v>
      </c>
      <c r="H43" s="16">
        <v>15.0</v>
      </c>
    </row>
    <row r="44">
      <c r="A44" s="16">
        <v>15.0</v>
      </c>
      <c r="B44" s="16">
        <v>15.0</v>
      </c>
      <c r="C44" s="16">
        <v>15.0</v>
      </c>
      <c r="D44" s="16">
        <v>15.0</v>
      </c>
      <c r="E44" s="16">
        <v>15.0</v>
      </c>
      <c r="F44" s="16">
        <v>15.0</v>
      </c>
      <c r="G44" s="16">
        <v>15.0</v>
      </c>
      <c r="H44" s="16">
        <v>15.0</v>
      </c>
    </row>
    <row r="45">
      <c r="A45" s="16">
        <v>13.0</v>
      </c>
      <c r="B45" s="16">
        <v>13.0</v>
      </c>
      <c r="C45" s="16">
        <v>13.0</v>
      </c>
      <c r="D45" s="16">
        <v>13.0</v>
      </c>
      <c r="E45" s="16">
        <v>13.0</v>
      </c>
      <c r="F45" s="16">
        <v>13.0</v>
      </c>
      <c r="G45" s="16">
        <v>13.0</v>
      </c>
      <c r="H45" s="16">
        <v>13.0</v>
      </c>
    </row>
    <row r="46">
      <c r="A46" s="16">
        <v>15.0</v>
      </c>
      <c r="B46" s="16">
        <v>15.0</v>
      </c>
      <c r="C46" s="16">
        <v>15.0</v>
      </c>
      <c r="D46" s="16">
        <v>15.0</v>
      </c>
      <c r="E46" s="16">
        <v>15.0</v>
      </c>
      <c r="F46" s="16">
        <v>15.0</v>
      </c>
      <c r="G46" s="16">
        <v>15.0</v>
      </c>
      <c r="H46" s="16">
        <v>15.0</v>
      </c>
    </row>
    <row r="47">
      <c r="A47" s="16">
        <v>16.0</v>
      </c>
      <c r="B47" s="16">
        <v>16.0</v>
      </c>
      <c r="C47" s="16">
        <v>16.0</v>
      </c>
      <c r="D47" s="16">
        <v>16.0</v>
      </c>
      <c r="E47" s="16">
        <v>16.0</v>
      </c>
      <c r="F47" s="16">
        <v>16.0</v>
      </c>
      <c r="G47" s="16">
        <v>16.0</v>
      </c>
      <c r="H47" s="16">
        <v>16.0</v>
      </c>
    </row>
    <row r="48">
      <c r="A48" s="16">
        <v>15.0</v>
      </c>
      <c r="B48" s="16">
        <v>15.0</v>
      </c>
      <c r="C48" s="16">
        <v>15.0</v>
      </c>
      <c r="D48" s="16">
        <v>15.0</v>
      </c>
      <c r="E48" s="16">
        <v>15.0</v>
      </c>
      <c r="F48" s="16">
        <v>15.0</v>
      </c>
      <c r="G48" s="16">
        <v>15.0</v>
      </c>
      <c r="H48" s="16">
        <v>15.0</v>
      </c>
    </row>
    <row r="49">
      <c r="A49" s="16">
        <v>14.0</v>
      </c>
      <c r="B49" s="16">
        <v>14.0</v>
      </c>
      <c r="C49" s="16">
        <v>14.0</v>
      </c>
      <c r="D49" s="16">
        <v>14.0</v>
      </c>
      <c r="E49" s="16">
        <v>14.0</v>
      </c>
      <c r="F49" s="16">
        <v>14.0</v>
      </c>
      <c r="G49" s="16">
        <v>14.0</v>
      </c>
      <c r="H49" s="16">
        <v>14.0</v>
      </c>
    </row>
    <row r="50">
      <c r="A50" s="16">
        <v>14.0</v>
      </c>
      <c r="B50" s="16">
        <v>14.0</v>
      </c>
      <c r="C50" s="16">
        <v>14.0</v>
      </c>
      <c r="D50" s="16">
        <v>14.0</v>
      </c>
      <c r="E50" s="16">
        <v>14.0</v>
      </c>
      <c r="F50" s="16">
        <v>14.0</v>
      </c>
      <c r="G50" s="16">
        <v>14.0</v>
      </c>
      <c r="H50" s="16">
        <v>14.0</v>
      </c>
    </row>
    <row r="51">
      <c r="A51" s="16">
        <v>15.0</v>
      </c>
      <c r="B51" s="16">
        <v>15.0</v>
      </c>
      <c r="C51" s="16">
        <v>15.0</v>
      </c>
      <c r="D51" s="16">
        <v>15.0</v>
      </c>
      <c r="E51" s="16">
        <v>15.0</v>
      </c>
      <c r="F51" s="16">
        <v>15.0</v>
      </c>
      <c r="G51" s="16">
        <v>15.0</v>
      </c>
      <c r="H51" s="16">
        <v>15.0</v>
      </c>
    </row>
    <row r="52">
      <c r="A52" s="16">
        <v>14.0</v>
      </c>
      <c r="B52" s="16">
        <v>14.0</v>
      </c>
      <c r="C52" s="16">
        <v>14.0</v>
      </c>
      <c r="D52" s="16">
        <v>14.0</v>
      </c>
      <c r="E52" s="16">
        <v>14.0</v>
      </c>
      <c r="F52" s="16">
        <v>14.0</v>
      </c>
      <c r="G52" s="16">
        <v>14.0</v>
      </c>
      <c r="H52" s="16">
        <v>14.0</v>
      </c>
    </row>
    <row r="53">
      <c r="A53" s="16">
        <v>16.0</v>
      </c>
      <c r="B53" s="16">
        <v>16.0</v>
      </c>
      <c r="C53" s="16">
        <v>16.0</v>
      </c>
      <c r="D53" s="16">
        <v>16.0</v>
      </c>
      <c r="E53" s="16">
        <v>16.0</v>
      </c>
      <c r="F53" s="16">
        <v>16.0</v>
      </c>
      <c r="G53" s="16">
        <v>16.0</v>
      </c>
      <c r="H53" s="16">
        <v>16.0</v>
      </c>
    </row>
    <row r="54">
      <c r="A54" s="16">
        <v>15.0</v>
      </c>
      <c r="B54" s="16">
        <v>15.0</v>
      </c>
      <c r="C54" s="16">
        <v>15.0</v>
      </c>
      <c r="D54" s="16">
        <v>15.0</v>
      </c>
      <c r="E54" s="16">
        <v>15.0</v>
      </c>
      <c r="F54" s="16">
        <v>15.0</v>
      </c>
      <c r="G54" s="16">
        <v>15.0</v>
      </c>
      <c r="H54" s="16">
        <v>15.0</v>
      </c>
    </row>
    <row r="55">
      <c r="A55" s="16">
        <v>15.0</v>
      </c>
      <c r="B55" s="16">
        <v>15.0</v>
      </c>
      <c r="C55" s="16">
        <v>15.0</v>
      </c>
      <c r="D55" s="16">
        <v>15.0</v>
      </c>
      <c r="E55" s="16">
        <v>15.0</v>
      </c>
      <c r="F55" s="16">
        <v>15.0</v>
      </c>
      <c r="G55" s="16">
        <v>15.0</v>
      </c>
      <c r="H55" s="16">
        <v>15.0</v>
      </c>
    </row>
    <row r="56">
      <c r="A56" s="16">
        <v>16.0</v>
      </c>
      <c r="B56" s="16">
        <v>16.0</v>
      </c>
      <c r="C56" s="16">
        <v>16.0</v>
      </c>
      <c r="D56" s="16">
        <v>16.0</v>
      </c>
      <c r="E56" s="16">
        <v>16.0</v>
      </c>
      <c r="F56" s="16">
        <v>16.0</v>
      </c>
      <c r="G56" s="16">
        <v>16.0</v>
      </c>
      <c r="H56" s="16">
        <v>16.0</v>
      </c>
    </row>
    <row r="57">
      <c r="A57" s="16">
        <v>15.0</v>
      </c>
      <c r="B57" s="16">
        <v>15.0</v>
      </c>
      <c r="C57" s="16">
        <v>15.0</v>
      </c>
      <c r="D57" s="16">
        <v>15.0</v>
      </c>
      <c r="E57" s="16">
        <v>15.0</v>
      </c>
      <c r="F57" s="16">
        <v>15.0</v>
      </c>
      <c r="G57" s="16">
        <v>15.0</v>
      </c>
      <c r="H57" s="16">
        <v>15.0</v>
      </c>
    </row>
    <row r="58">
      <c r="A58" s="16">
        <v>15.0</v>
      </c>
      <c r="B58" s="16">
        <v>15.0</v>
      </c>
      <c r="C58" s="16">
        <v>15.0</v>
      </c>
      <c r="D58" s="16">
        <v>15.0</v>
      </c>
      <c r="E58" s="16">
        <v>15.0</v>
      </c>
      <c r="F58" s="16">
        <v>15.0</v>
      </c>
      <c r="G58" s="16">
        <v>15.0</v>
      </c>
      <c r="H58" s="16">
        <v>15.0</v>
      </c>
    </row>
    <row r="59">
      <c r="A59" s="16">
        <v>16.0</v>
      </c>
      <c r="B59" s="16">
        <v>16.0</v>
      </c>
      <c r="C59" s="16">
        <v>16.0</v>
      </c>
      <c r="D59" s="16">
        <v>16.0</v>
      </c>
      <c r="E59" s="16">
        <v>16.0</v>
      </c>
      <c r="F59" s="16">
        <v>16.0</v>
      </c>
      <c r="G59" s="16">
        <v>16.0</v>
      </c>
      <c r="H59" s="16">
        <v>16.0</v>
      </c>
    </row>
    <row r="60">
      <c r="A60" s="16">
        <v>14.0</v>
      </c>
      <c r="B60" s="16">
        <v>14.0</v>
      </c>
      <c r="C60" s="16">
        <v>14.0</v>
      </c>
      <c r="D60" s="16">
        <v>14.0</v>
      </c>
      <c r="E60" s="16">
        <v>14.0</v>
      </c>
      <c r="F60" s="16">
        <v>14.0</v>
      </c>
      <c r="G60" s="16">
        <v>14.0</v>
      </c>
      <c r="H60" s="16">
        <v>14.0</v>
      </c>
    </row>
    <row r="61">
      <c r="A61" s="16">
        <v>15.0</v>
      </c>
      <c r="B61" s="16">
        <v>15.0</v>
      </c>
      <c r="C61" s="16">
        <v>15.0</v>
      </c>
      <c r="D61" s="16">
        <v>15.0</v>
      </c>
      <c r="E61" s="16">
        <v>15.0</v>
      </c>
      <c r="F61" s="16">
        <v>15.0</v>
      </c>
      <c r="G61" s="16">
        <v>15.0</v>
      </c>
      <c r="H61" s="16">
        <v>15.0</v>
      </c>
    </row>
    <row r="62">
      <c r="A62" s="16">
        <v>16.0</v>
      </c>
      <c r="B62" s="16">
        <v>16.0</v>
      </c>
      <c r="C62" s="16">
        <v>16.0</v>
      </c>
      <c r="D62" s="16">
        <v>16.0</v>
      </c>
      <c r="E62" s="16">
        <v>16.0</v>
      </c>
      <c r="F62" s="16">
        <v>16.0</v>
      </c>
      <c r="G62" s="16">
        <v>16.0</v>
      </c>
      <c r="H62" s="16">
        <v>16.0</v>
      </c>
    </row>
    <row r="63">
      <c r="A63" s="16" t="s">
        <v>237</v>
      </c>
      <c r="B63" s="16" t="s">
        <v>237</v>
      </c>
      <c r="C63" s="16" t="s">
        <v>237</v>
      </c>
      <c r="D63" s="16" t="s">
        <v>237</v>
      </c>
      <c r="E63" s="16" t="s">
        <v>237</v>
      </c>
      <c r="F63" s="16" t="s">
        <v>237</v>
      </c>
      <c r="G63" s="16" t="s">
        <v>237</v>
      </c>
      <c r="H63" s="16" t="s">
        <v>237</v>
      </c>
    </row>
    <row r="64">
      <c r="A64" s="16">
        <v>30.7</v>
      </c>
      <c r="B64" s="16">
        <v>43.66</v>
      </c>
      <c r="C64" s="16">
        <v>23.39</v>
      </c>
      <c r="D64" s="16">
        <v>23.59</v>
      </c>
      <c r="E64" s="16">
        <v>29.8</v>
      </c>
      <c r="F64" s="16">
        <v>20.92</v>
      </c>
      <c r="G64" s="16">
        <v>39.01</v>
      </c>
      <c r="H64" s="16">
        <v>30.71</v>
      </c>
    </row>
    <row r="65">
      <c r="A65" s="16">
        <v>30.02</v>
      </c>
      <c r="B65" s="16">
        <v>50.15</v>
      </c>
      <c r="C65" s="16">
        <v>28.36</v>
      </c>
      <c r="D65" s="16">
        <v>16.97</v>
      </c>
      <c r="E65" s="16">
        <v>20.53</v>
      </c>
      <c r="F65" s="16">
        <v>23.49</v>
      </c>
      <c r="G65" s="16">
        <v>37.28</v>
      </c>
      <c r="H65" s="16">
        <v>34.99</v>
      </c>
    </row>
    <row r="66">
      <c r="A66" s="16">
        <v>27.41</v>
      </c>
      <c r="B66" s="16">
        <v>50.93</v>
      </c>
      <c r="C66" s="16">
        <v>24.45</v>
      </c>
      <c r="D66" s="16">
        <v>20.84</v>
      </c>
      <c r="E66" s="16">
        <v>18.67</v>
      </c>
      <c r="F66" s="16">
        <v>20.49</v>
      </c>
      <c r="G66" s="16">
        <v>34.14</v>
      </c>
      <c r="H66" s="16">
        <v>43.07</v>
      </c>
    </row>
    <row r="67">
      <c r="A67" s="16">
        <v>27.87</v>
      </c>
      <c r="B67" s="16">
        <v>51.74</v>
      </c>
      <c r="C67" s="16">
        <v>32.32</v>
      </c>
      <c r="D67" s="16">
        <v>15.8</v>
      </c>
      <c r="E67" s="16">
        <v>26.33</v>
      </c>
      <c r="F67" s="16">
        <v>17.67</v>
      </c>
      <c r="G67" s="16">
        <v>28.27</v>
      </c>
      <c r="H67" s="16">
        <v>40.0</v>
      </c>
    </row>
    <row r="68">
      <c r="A68" s="16">
        <v>27.1</v>
      </c>
      <c r="B68" s="16">
        <v>49.8</v>
      </c>
      <c r="C68" s="16">
        <v>29.82</v>
      </c>
      <c r="D68" s="16">
        <v>19.52</v>
      </c>
      <c r="E68" s="16">
        <v>30.87</v>
      </c>
      <c r="F68" s="16">
        <v>20.19</v>
      </c>
      <c r="G68" s="16">
        <v>26.46</v>
      </c>
      <c r="H68" s="16">
        <v>36.25</v>
      </c>
    </row>
    <row r="69">
      <c r="A69" s="16">
        <v>37.67</v>
      </c>
      <c r="B69" s="16">
        <v>51.08</v>
      </c>
      <c r="C69" s="16">
        <v>32.99</v>
      </c>
      <c r="D69" s="16">
        <v>22.56</v>
      </c>
      <c r="E69" s="16">
        <v>14.94</v>
      </c>
      <c r="F69" s="16">
        <v>18.92</v>
      </c>
      <c r="G69" s="16">
        <v>28.98</v>
      </c>
      <c r="H69" s="16">
        <v>34.52</v>
      </c>
    </row>
    <row r="70">
      <c r="A70" s="16">
        <v>30.52</v>
      </c>
      <c r="B70" s="16">
        <v>52.26</v>
      </c>
      <c r="C70" s="16">
        <v>35.63</v>
      </c>
      <c r="D70" s="16">
        <v>21.87</v>
      </c>
      <c r="E70" s="16">
        <v>26.19</v>
      </c>
      <c r="F70" s="16">
        <v>15.22</v>
      </c>
      <c r="G70" s="16">
        <v>27.65</v>
      </c>
      <c r="H70" s="16">
        <v>29.35</v>
      </c>
    </row>
    <row r="71">
      <c r="A71" s="16">
        <v>29.98</v>
      </c>
      <c r="B71" s="16">
        <v>50.33</v>
      </c>
      <c r="C71" s="16">
        <v>27.15</v>
      </c>
      <c r="D71" s="16">
        <v>18.49</v>
      </c>
      <c r="E71" s="16">
        <v>30.35</v>
      </c>
      <c r="F71" s="16">
        <v>20.77</v>
      </c>
      <c r="G71" s="16">
        <v>35.75</v>
      </c>
      <c r="H71" s="16">
        <v>30.51</v>
      </c>
    </row>
    <row r="72">
      <c r="A72" s="16">
        <v>22.8</v>
      </c>
      <c r="B72" s="16">
        <v>47.74</v>
      </c>
      <c r="C72" s="16">
        <v>29.22</v>
      </c>
      <c r="D72" s="16">
        <v>29.53</v>
      </c>
      <c r="E72" s="16">
        <v>32.28</v>
      </c>
      <c r="F72" s="16">
        <v>24.25</v>
      </c>
      <c r="G72" s="16">
        <v>24.48</v>
      </c>
      <c r="H72" s="16">
        <v>29.7</v>
      </c>
    </row>
    <row r="73">
      <c r="A73" s="16">
        <v>27.52</v>
      </c>
      <c r="B73" s="16">
        <v>38.85</v>
      </c>
      <c r="C73" s="16">
        <v>27.38</v>
      </c>
      <c r="D73" s="16">
        <v>32.58</v>
      </c>
      <c r="E73" s="16">
        <v>28.53</v>
      </c>
      <c r="F73" s="16">
        <v>16.41</v>
      </c>
      <c r="G73" s="16">
        <v>14.93</v>
      </c>
      <c r="H73" s="16">
        <v>53.79</v>
      </c>
    </row>
    <row r="74">
      <c r="A74" s="16">
        <v>23.55</v>
      </c>
      <c r="B74" s="16">
        <v>46.91</v>
      </c>
      <c r="C74" s="16">
        <v>21.71</v>
      </c>
      <c r="D74" s="16">
        <v>20.82</v>
      </c>
      <c r="E74" s="16">
        <v>31.05</v>
      </c>
      <c r="F74" s="16">
        <v>29.01</v>
      </c>
      <c r="G74" s="16">
        <v>33.88</v>
      </c>
      <c r="H74" s="16">
        <v>33.07</v>
      </c>
    </row>
    <row r="75">
      <c r="A75" s="16">
        <v>31.88</v>
      </c>
      <c r="B75" s="16">
        <v>44.06</v>
      </c>
      <c r="C75" s="16">
        <v>33.72</v>
      </c>
      <c r="D75" s="16">
        <v>19.19</v>
      </c>
      <c r="E75" s="16">
        <v>17.59</v>
      </c>
      <c r="F75" s="16">
        <v>27.26</v>
      </c>
      <c r="G75" s="16">
        <v>24.99</v>
      </c>
      <c r="H75" s="16">
        <v>42.98</v>
      </c>
    </row>
    <row r="76">
      <c r="A76" s="16">
        <v>29.24</v>
      </c>
      <c r="B76" s="16">
        <v>37.38</v>
      </c>
      <c r="C76" s="16">
        <v>21.67</v>
      </c>
      <c r="D76" s="16">
        <v>28.99</v>
      </c>
      <c r="E76" s="16">
        <v>33.77</v>
      </c>
      <c r="F76" s="16">
        <v>21.81</v>
      </c>
      <c r="G76" s="16">
        <v>28.74</v>
      </c>
      <c r="H76" s="16">
        <v>38.39</v>
      </c>
    </row>
    <row r="77">
      <c r="A77" s="16">
        <v>34.32</v>
      </c>
      <c r="B77" s="16">
        <v>38.83</v>
      </c>
      <c r="C77" s="16">
        <v>34.47</v>
      </c>
      <c r="D77" s="16">
        <v>24.09</v>
      </c>
      <c r="E77" s="16">
        <v>20.59</v>
      </c>
      <c r="F77" s="16">
        <v>23.8</v>
      </c>
      <c r="G77" s="16">
        <v>28.35</v>
      </c>
      <c r="H77" s="16">
        <v>37.22</v>
      </c>
    </row>
    <row r="78">
      <c r="A78" s="16">
        <v>31.58</v>
      </c>
      <c r="B78" s="16">
        <v>45.01</v>
      </c>
      <c r="C78" s="16">
        <v>26.91</v>
      </c>
      <c r="D78" s="16">
        <v>14.31</v>
      </c>
      <c r="E78" s="16">
        <v>34.06</v>
      </c>
      <c r="F78" s="16">
        <v>26.31</v>
      </c>
      <c r="G78" s="16">
        <v>28.54</v>
      </c>
      <c r="H78" s="16">
        <v>36.41</v>
      </c>
    </row>
    <row r="79">
      <c r="A79" s="16">
        <v>26.48</v>
      </c>
      <c r="B79" s="16">
        <v>47.3</v>
      </c>
      <c r="C79" s="16">
        <v>22.06</v>
      </c>
      <c r="D79" s="16">
        <v>20.1</v>
      </c>
      <c r="E79" s="16">
        <v>32.25</v>
      </c>
      <c r="F79" s="16">
        <v>24.28</v>
      </c>
      <c r="G79" s="16">
        <v>27.31</v>
      </c>
      <c r="H79" s="16">
        <v>40.21</v>
      </c>
    </row>
    <row r="80">
      <c r="A80" s="16">
        <v>37.51</v>
      </c>
      <c r="B80" s="16">
        <v>38.33</v>
      </c>
      <c r="C80" s="16">
        <v>24.87</v>
      </c>
      <c r="D80" s="16">
        <v>22.94</v>
      </c>
      <c r="E80" s="16">
        <v>22.49</v>
      </c>
      <c r="F80" s="16">
        <v>20.77</v>
      </c>
      <c r="G80" s="16">
        <v>33.94</v>
      </c>
      <c r="H80" s="16">
        <v>40.94</v>
      </c>
    </row>
    <row r="81">
      <c r="A81" s="16">
        <v>28.94</v>
      </c>
      <c r="B81" s="16">
        <v>45.62</v>
      </c>
      <c r="C81" s="16">
        <v>31.51</v>
      </c>
      <c r="D81" s="16">
        <v>21.66</v>
      </c>
      <c r="E81" s="16">
        <v>25.15</v>
      </c>
      <c r="F81" s="16">
        <v>21.78</v>
      </c>
      <c r="G81" s="16">
        <v>39.07</v>
      </c>
      <c r="H81" s="16">
        <v>28.05</v>
      </c>
    </row>
    <row r="82">
      <c r="A82" s="16">
        <v>19.77</v>
      </c>
      <c r="B82" s="16">
        <v>54.56</v>
      </c>
      <c r="C82" s="16">
        <v>33.09</v>
      </c>
      <c r="D82" s="16">
        <v>27.43</v>
      </c>
      <c r="E82" s="16">
        <v>28.92</v>
      </c>
      <c r="F82" s="16">
        <v>22.48</v>
      </c>
      <c r="G82" s="16">
        <v>23.47</v>
      </c>
      <c r="H82" s="16">
        <v>35.29</v>
      </c>
    </row>
    <row r="83">
      <c r="A83" s="16">
        <v>32.23</v>
      </c>
      <c r="B83" s="16">
        <v>40.59</v>
      </c>
      <c r="C83" s="16">
        <v>28.28</v>
      </c>
      <c r="D83" s="16">
        <v>22.1</v>
      </c>
      <c r="E83" s="16">
        <v>27.83</v>
      </c>
      <c r="F83" s="16">
        <v>21.53</v>
      </c>
      <c r="G83" s="16">
        <v>25.93</v>
      </c>
      <c r="H83" s="16">
        <v>45.08</v>
      </c>
    </row>
    <row r="84">
      <c r="A84" s="16">
        <v>16.3</v>
      </c>
      <c r="B84" s="16">
        <v>54.03</v>
      </c>
      <c r="C84" s="16">
        <v>37.66</v>
      </c>
      <c r="D84" s="16">
        <v>22.98</v>
      </c>
      <c r="E84" s="16">
        <v>11.28</v>
      </c>
      <c r="F84" s="16">
        <v>27.66</v>
      </c>
      <c r="G84" s="16">
        <v>45.76</v>
      </c>
      <c r="H84" s="16">
        <v>24.33</v>
      </c>
    </row>
    <row r="85">
      <c r="A85" s="16">
        <v>24.7</v>
      </c>
      <c r="B85" s="16">
        <v>53.53</v>
      </c>
      <c r="C85" s="16">
        <v>31.16</v>
      </c>
      <c r="D85" s="16">
        <v>21.95</v>
      </c>
      <c r="E85" s="16">
        <v>27.92</v>
      </c>
      <c r="F85" s="16">
        <v>23.24</v>
      </c>
      <c r="G85" s="16">
        <v>26.61</v>
      </c>
      <c r="H85" s="16">
        <v>30.88</v>
      </c>
    </row>
    <row r="86">
      <c r="A86" s="16">
        <v>34.4</v>
      </c>
      <c r="B86" s="16">
        <v>44.36</v>
      </c>
      <c r="C86" s="16">
        <v>29.3</v>
      </c>
      <c r="D86" s="16">
        <v>23.0</v>
      </c>
      <c r="E86" s="16">
        <v>24.02</v>
      </c>
      <c r="F86" s="16">
        <v>21.26</v>
      </c>
      <c r="G86" s="16">
        <v>22.96</v>
      </c>
      <c r="H86" s="16">
        <v>42.37</v>
      </c>
    </row>
    <row r="87">
      <c r="A87" s="16">
        <v>36.05</v>
      </c>
      <c r="B87" s="16">
        <v>48.51</v>
      </c>
      <c r="C87" s="16">
        <v>26.51</v>
      </c>
      <c r="D87" s="16">
        <v>15.07</v>
      </c>
      <c r="E87" s="16">
        <v>34.58</v>
      </c>
      <c r="F87" s="16">
        <v>21.73</v>
      </c>
      <c r="G87" s="16">
        <v>28.76</v>
      </c>
      <c r="H87" s="16">
        <v>31.92</v>
      </c>
    </row>
    <row r="88">
      <c r="A88" s="16">
        <v>18.26</v>
      </c>
      <c r="B88" s="16">
        <v>54.99</v>
      </c>
      <c r="C88" s="16">
        <v>26.39</v>
      </c>
      <c r="D88" s="16">
        <v>13.47</v>
      </c>
      <c r="E88" s="16">
        <v>30.57</v>
      </c>
      <c r="F88" s="16">
        <v>31.54</v>
      </c>
      <c r="G88" s="16">
        <v>29.11</v>
      </c>
      <c r="H88" s="16">
        <v>35.25</v>
      </c>
    </row>
    <row r="89">
      <c r="A89" s="16">
        <v>25.71</v>
      </c>
      <c r="B89" s="16">
        <v>37.91</v>
      </c>
      <c r="C89" s="16">
        <v>24.52</v>
      </c>
      <c r="D89" s="16">
        <v>20.24</v>
      </c>
      <c r="E89" s="16">
        <v>33.85</v>
      </c>
      <c r="F89" s="16">
        <v>32.78</v>
      </c>
      <c r="G89" s="16">
        <v>27.0</v>
      </c>
      <c r="H89" s="16">
        <v>37.99</v>
      </c>
    </row>
    <row r="90">
      <c r="A90" s="16">
        <v>35.48</v>
      </c>
      <c r="B90" s="16">
        <v>42.82</v>
      </c>
      <c r="C90" s="16">
        <v>36.53</v>
      </c>
      <c r="D90" s="16">
        <v>20.01</v>
      </c>
      <c r="E90" s="16">
        <v>10.46</v>
      </c>
      <c r="F90" s="16">
        <v>28.21</v>
      </c>
      <c r="G90" s="16">
        <v>38.16</v>
      </c>
      <c r="H90" s="16">
        <v>33.01</v>
      </c>
    </row>
    <row r="91">
      <c r="A91" s="16">
        <v>33.98</v>
      </c>
      <c r="B91" s="16">
        <v>45.06</v>
      </c>
      <c r="C91" s="16">
        <v>31.01</v>
      </c>
      <c r="D91" s="16">
        <v>19.34</v>
      </c>
      <c r="E91" s="16">
        <v>30.9</v>
      </c>
      <c r="F91" s="16">
        <v>21.17</v>
      </c>
      <c r="G91" s="16">
        <v>27.87</v>
      </c>
      <c r="H91" s="16">
        <v>32.45</v>
      </c>
    </row>
    <row r="92">
      <c r="A92" s="16">
        <v>23.51</v>
      </c>
      <c r="B92" s="16">
        <v>39.2</v>
      </c>
      <c r="C92" s="16">
        <v>24.48</v>
      </c>
      <c r="D92" s="16">
        <v>27.19</v>
      </c>
      <c r="E92" s="16">
        <v>31.08</v>
      </c>
      <c r="F92" s="16">
        <v>25.82</v>
      </c>
      <c r="G92" s="16">
        <v>31.76</v>
      </c>
      <c r="H92" s="16">
        <v>38.62</v>
      </c>
    </row>
    <row r="93">
      <c r="A93" s="16">
        <v>26.63</v>
      </c>
      <c r="B93" s="16">
        <v>47.36</v>
      </c>
      <c r="C93" s="16">
        <v>30.3</v>
      </c>
      <c r="D93" s="16">
        <v>21.15</v>
      </c>
      <c r="E93" s="16">
        <v>31.76</v>
      </c>
      <c r="F93" s="16">
        <v>23.12</v>
      </c>
      <c r="G93" s="16">
        <v>30.18</v>
      </c>
      <c r="H93" s="16">
        <v>35.75</v>
      </c>
    </row>
    <row r="94">
      <c r="A94" s="16" t="s">
        <v>1072</v>
      </c>
      <c r="B94" s="16" t="s">
        <v>1072</v>
      </c>
      <c r="C94" s="16" t="s">
        <v>1072</v>
      </c>
      <c r="D94" s="16" t="s">
        <v>1072</v>
      </c>
      <c r="E94" s="16" t="s">
        <v>1072</v>
      </c>
      <c r="F94" s="16" t="s">
        <v>1072</v>
      </c>
      <c r="G94" s="16" t="s">
        <v>1072</v>
      </c>
      <c r="H94" s="16" t="s">
        <v>1072</v>
      </c>
    </row>
    <row r="95">
      <c r="A95" s="16">
        <v>4.0</v>
      </c>
      <c r="B95" s="16">
        <v>5.14</v>
      </c>
      <c r="C95" s="16">
        <v>7.14</v>
      </c>
      <c r="D95" s="16">
        <v>2.86</v>
      </c>
      <c r="E95" s="16">
        <v>7.57</v>
      </c>
      <c r="F95" s="16">
        <v>3.0</v>
      </c>
      <c r="G95" s="16">
        <v>5.36</v>
      </c>
      <c r="H95" s="16">
        <v>6.43</v>
      </c>
    </row>
    <row r="96">
      <c r="A96" s="16">
        <v>4.0</v>
      </c>
      <c r="B96" s="16">
        <v>7.07</v>
      </c>
      <c r="C96" s="16">
        <v>9.14</v>
      </c>
      <c r="D96" s="16">
        <v>2.71</v>
      </c>
      <c r="E96" s="16">
        <v>5.07</v>
      </c>
      <c r="F96" s="16">
        <v>3.43</v>
      </c>
      <c r="G96" s="16">
        <v>5.5</v>
      </c>
      <c r="H96" s="16">
        <v>5.07</v>
      </c>
    </row>
    <row r="97">
      <c r="A97" s="16">
        <v>5.13</v>
      </c>
      <c r="B97" s="16">
        <v>7.93</v>
      </c>
      <c r="C97" s="16">
        <v>8.8</v>
      </c>
      <c r="D97" s="16">
        <v>2.47</v>
      </c>
      <c r="E97" s="16">
        <v>4.67</v>
      </c>
      <c r="F97" s="16">
        <v>3.13</v>
      </c>
      <c r="G97" s="16">
        <v>3.8</v>
      </c>
      <c r="H97" s="16">
        <v>8.53</v>
      </c>
    </row>
    <row r="98">
      <c r="A98" s="16">
        <v>5.06</v>
      </c>
      <c r="B98" s="16">
        <v>6.19</v>
      </c>
      <c r="C98" s="16">
        <v>11.13</v>
      </c>
      <c r="D98" s="16">
        <v>1.88</v>
      </c>
      <c r="E98" s="16">
        <v>7.19</v>
      </c>
      <c r="F98" s="16">
        <v>2.69</v>
      </c>
      <c r="G98" s="16">
        <v>3.5</v>
      </c>
      <c r="H98" s="16">
        <v>8.19</v>
      </c>
    </row>
    <row r="99">
      <c r="A99" s="16">
        <v>3.75</v>
      </c>
      <c r="B99" s="16">
        <v>5.81</v>
      </c>
      <c r="C99" s="16">
        <v>9.63</v>
      </c>
      <c r="D99" s="16">
        <v>2.19</v>
      </c>
      <c r="E99" s="16">
        <v>7.88</v>
      </c>
      <c r="F99" s="16">
        <v>3.38</v>
      </c>
      <c r="G99" s="16">
        <v>4.0</v>
      </c>
      <c r="H99" s="16">
        <v>5.88</v>
      </c>
    </row>
    <row r="100">
      <c r="A100" s="16">
        <v>6.6</v>
      </c>
      <c r="B100" s="16">
        <v>6.93</v>
      </c>
      <c r="C100" s="16">
        <v>10.07</v>
      </c>
      <c r="D100" s="16">
        <v>2.67</v>
      </c>
      <c r="E100" s="16">
        <v>4.13</v>
      </c>
      <c r="F100" s="16">
        <v>2.4</v>
      </c>
      <c r="G100" s="16">
        <v>3.33</v>
      </c>
      <c r="H100" s="16">
        <v>6.73</v>
      </c>
    </row>
    <row r="101">
      <c r="A101" s="16">
        <v>3.44</v>
      </c>
      <c r="B101" s="16">
        <v>6.31</v>
      </c>
      <c r="C101" s="16">
        <v>11.75</v>
      </c>
      <c r="D101" s="16">
        <v>3.63</v>
      </c>
      <c r="E101" s="16">
        <v>6.31</v>
      </c>
      <c r="F101" s="16">
        <v>1.69</v>
      </c>
      <c r="G101" s="16">
        <v>4.19</v>
      </c>
      <c r="H101" s="16">
        <v>4.5</v>
      </c>
    </row>
    <row r="102">
      <c r="A102" s="16">
        <v>3.47</v>
      </c>
      <c r="B102" s="16">
        <v>5.93</v>
      </c>
      <c r="C102" s="16">
        <v>6.13</v>
      </c>
      <c r="D102" s="16">
        <v>3.87</v>
      </c>
      <c r="E102" s="16">
        <v>7.8</v>
      </c>
      <c r="F102" s="16">
        <v>3.0</v>
      </c>
      <c r="G102" s="16">
        <v>4.27</v>
      </c>
      <c r="H102" s="16">
        <v>5.27</v>
      </c>
    </row>
    <row r="103">
      <c r="A103" s="16">
        <v>2.4</v>
      </c>
      <c r="B103" s="16">
        <v>7.33</v>
      </c>
      <c r="C103" s="16">
        <v>10.73</v>
      </c>
      <c r="D103" s="16">
        <v>4.07</v>
      </c>
      <c r="E103" s="16">
        <v>7.4</v>
      </c>
      <c r="F103" s="16">
        <v>3.8</v>
      </c>
      <c r="G103" s="16">
        <v>3.07</v>
      </c>
      <c r="H103" s="16">
        <v>6.33</v>
      </c>
    </row>
    <row r="104">
      <c r="A104" s="16">
        <v>4.13</v>
      </c>
      <c r="B104" s="16">
        <v>6.27</v>
      </c>
      <c r="C104" s="16">
        <v>8.53</v>
      </c>
      <c r="D104" s="16">
        <v>4.47</v>
      </c>
      <c r="E104" s="16">
        <v>7.07</v>
      </c>
      <c r="F104" s="16">
        <v>2.47</v>
      </c>
      <c r="G104" s="16">
        <v>1.93</v>
      </c>
      <c r="H104" s="16">
        <v>11.2</v>
      </c>
    </row>
    <row r="105">
      <c r="A105" s="16">
        <v>4.6</v>
      </c>
      <c r="B105" s="16">
        <v>7.8</v>
      </c>
      <c r="C105" s="16">
        <v>7.27</v>
      </c>
      <c r="D105" s="16">
        <v>2.33</v>
      </c>
      <c r="E105" s="16">
        <v>9.6</v>
      </c>
      <c r="F105" s="16">
        <v>3.67</v>
      </c>
      <c r="G105" s="16">
        <v>5.2</v>
      </c>
      <c r="H105" s="16">
        <v>6.87</v>
      </c>
    </row>
    <row r="106">
      <c r="A106" s="16">
        <v>4.8</v>
      </c>
      <c r="B106" s="16">
        <v>8.53</v>
      </c>
      <c r="C106" s="16">
        <v>13.0</v>
      </c>
      <c r="D106" s="16">
        <v>1.67</v>
      </c>
      <c r="E106" s="16">
        <v>5.2</v>
      </c>
      <c r="F106" s="16">
        <v>3.4</v>
      </c>
      <c r="G106" s="16">
        <v>4.0</v>
      </c>
      <c r="H106" s="16">
        <v>10.6</v>
      </c>
    </row>
    <row r="107">
      <c r="A107" s="16">
        <v>4.92</v>
      </c>
      <c r="B107" s="16">
        <v>3.85</v>
      </c>
      <c r="C107" s="16">
        <v>6.62</v>
      </c>
      <c r="D107" s="16">
        <v>3.92</v>
      </c>
      <c r="E107" s="16">
        <v>11.0</v>
      </c>
      <c r="F107" s="16">
        <v>3.85</v>
      </c>
      <c r="G107" s="16">
        <v>3.0</v>
      </c>
      <c r="H107" s="16">
        <v>5.23</v>
      </c>
    </row>
    <row r="108">
      <c r="A108" s="16">
        <v>5.0</v>
      </c>
      <c r="B108" s="16">
        <v>6.33</v>
      </c>
      <c r="C108" s="16">
        <v>10.67</v>
      </c>
      <c r="D108" s="16">
        <v>2.4</v>
      </c>
      <c r="E108" s="16">
        <v>5.07</v>
      </c>
      <c r="F108" s="16">
        <v>2.67</v>
      </c>
      <c r="G108" s="16">
        <v>2.8</v>
      </c>
      <c r="H108" s="16">
        <v>7.53</v>
      </c>
    </row>
    <row r="109">
      <c r="A109" s="16">
        <v>4.63</v>
      </c>
      <c r="B109" s="16">
        <v>6.31</v>
      </c>
      <c r="C109" s="16">
        <v>9.38</v>
      </c>
      <c r="D109" s="16">
        <v>2.0</v>
      </c>
      <c r="E109" s="16">
        <v>9.19</v>
      </c>
      <c r="F109" s="16">
        <v>3.81</v>
      </c>
      <c r="G109" s="16">
        <v>3.38</v>
      </c>
      <c r="H109" s="16">
        <v>7.75</v>
      </c>
    </row>
    <row r="110">
      <c r="A110" s="16">
        <v>3.93</v>
      </c>
      <c r="B110" s="16">
        <v>5.47</v>
      </c>
      <c r="C110" s="16">
        <v>6.6</v>
      </c>
      <c r="D110" s="16">
        <v>3.07</v>
      </c>
      <c r="E110" s="16">
        <v>8.0</v>
      </c>
      <c r="F110" s="16">
        <v>2.8</v>
      </c>
      <c r="G110" s="16">
        <v>2.47</v>
      </c>
      <c r="H110" s="16">
        <v>9.07</v>
      </c>
    </row>
    <row r="111">
      <c r="A111" s="16">
        <v>5.14</v>
      </c>
      <c r="B111" s="16">
        <v>5.0</v>
      </c>
      <c r="C111" s="16">
        <v>9.64</v>
      </c>
      <c r="D111" s="16">
        <v>2.86</v>
      </c>
      <c r="E111" s="16">
        <v>6.0</v>
      </c>
      <c r="F111" s="16">
        <v>2.14</v>
      </c>
      <c r="G111" s="16">
        <v>3.57</v>
      </c>
      <c r="H111" s="16">
        <v>8.79</v>
      </c>
    </row>
    <row r="112">
      <c r="A112" s="16">
        <v>4.79</v>
      </c>
      <c r="B112" s="16">
        <v>5.79</v>
      </c>
      <c r="C112" s="16">
        <v>9.07</v>
      </c>
      <c r="D112" s="16">
        <v>3.64</v>
      </c>
      <c r="E112" s="16">
        <v>6.29</v>
      </c>
      <c r="F112" s="16">
        <v>3.5</v>
      </c>
      <c r="G112" s="16">
        <v>4.86</v>
      </c>
      <c r="H112" s="16">
        <v>6.0</v>
      </c>
    </row>
    <row r="113">
      <c r="A113" s="16">
        <v>2.27</v>
      </c>
      <c r="B113" s="16">
        <v>7.27</v>
      </c>
      <c r="C113" s="16">
        <v>10.07</v>
      </c>
      <c r="D113" s="16">
        <v>3.93</v>
      </c>
      <c r="E113" s="16">
        <v>8.27</v>
      </c>
      <c r="F113" s="16">
        <v>3.27</v>
      </c>
      <c r="G113" s="16">
        <v>3.2</v>
      </c>
      <c r="H113" s="16">
        <v>6.8</v>
      </c>
    </row>
    <row r="114">
      <c r="A114" s="16">
        <v>4.14</v>
      </c>
      <c r="B114" s="16">
        <v>5.0</v>
      </c>
      <c r="C114" s="16">
        <v>10.29</v>
      </c>
      <c r="D114" s="16">
        <v>3.86</v>
      </c>
      <c r="E114" s="16">
        <v>6.64</v>
      </c>
      <c r="F114" s="16">
        <v>2.14</v>
      </c>
      <c r="G114" s="16">
        <v>3.29</v>
      </c>
      <c r="H114" s="16">
        <v>8.43</v>
      </c>
    </row>
    <row r="115">
      <c r="A115" s="16">
        <v>2.5</v>
      </c>
      <c r="B115" s="16">
        <v>8.19</v>
      </c>
      <c r="C115" s="16">
        <v>11.75</v>
      </c>
      <c r="D115" s="16">
        <v>3.06</v>
      </c>
      <c r="E115" s="16">
        <v>3.81</v>
      </c>
      <c r="F115" s="16">
        <v>3.69</v>
      </c>
      <c r="G115" s="16">
        <v>8.69</v>
      </c>
      <c r="H115" s="16">
        <v>5.5</v>
      </c>
    </row>
    <row r="116">
      <c r="A116" s="16">
        <v>4.2</v>
      </c>
      <c r="B116" s="16">
        <v>7.0</v>
      </c>
      <c r="C116" s="16">
        <v>11.73</v>
      </c>
      <c r="D116" s="16">
        <v>2.87</v>
      </c>
      <c r="E116" s="16">
        <v>8.13</v>
      </c>
      <c r="F116" s="16">
        <v>3.33</v>
      </c>
      <c r="G116" s="16">
        <v>4.47</v>
      </c>
      <c r="H116" s="16">
        <v>7.53</v>
      </c>
    </row>
    <row r="117">
      <c r="A117" s="16">
        <v>6.53</v>
      </c>
      <c r="B117" s="16">
        <v>5.2</v>
      </c>
      <c r="C117" s="16">
        <v>8.87</v>
      </c>
      <c r="D117" s="16">
        <v>2.73</v>
      </c>
      <c r="E117" s="16">
        <v>5.2</v>
      </c>
      <c r="F117" s="16">
        <v>2.4</v>
      </c>
      <c r="G117" s="16">
        <v>3.2</v>
      </c>
      <c r="H117" s="16">
        <v>10.07</v>
      </c>
    </row>
    <row r="118">
      <c r="A118" s="16">
        <v>3.75</v>
      </c>
      <c r="B118" s="16">
        <v>6.63</v>
      </c>
      <c r="C118" s="16">
        <v>9.0</v>
      </c>
      <c r="D118" s="16">
        <v>1.69</v>
      </c>
      <c r="E118" s="16">
        <v>8.94</v>
      </c>
      <c r="F118" s="16">
        <v>2.5</v>
      </c>
      <c r="G118" s="16">
        <v>3.38</v>
      </c>
      <c r="H118" s="16">
        <v>6.38</v>
      </c>
    </row>
    <row r="119">
      <c r="A119" s="16">
        <v>3.0</v>
      </c>
      <c r="B119" s="16">
        <v>8.4</v>
      </c>
      <c r="C119" s="16">
        <v>7.2</v>
      </c>
      <c r="D119" s="16">
        <v>1.93</v>
      </c>
      <c r="E119" s="16">
        <v>7.6</v>
      </c>
      <c r="F119" s="16">
        <v>4.8</v>
      </c>
      <c r="G119" s="16">
        <v>4.4</v>
      </c>
      <c r="H119" s="16">
        <v>7.27</v>
      </c>
    </row>
    <row r="120">
      <c r="A120" s="16">
        <v>3.73</v>
      </c>
      <c r="B120" s="16">
        <v>5.73</v>
      </c>
      <c r="C120" s="16">
        <v>10.07</v>
      </c>
      <c r="D120" s="16">
        <v>2.0</v>
      </c>
      <c r="E120" s="16">
        <v>9.0</v>
      </c>
      <c r="F120" s="16">
        <v>4.27</v>
      </c>
      <c r="G120" s="16">
        <v>3.07</v>
      </c>
      <c r="H120" s="16">
        <v>7.6</v>
      </c>
    </row>
    <row r="121">
      <c r="A121" s="16">
        <v>6.63</v>
      </c>
      <c r="B121" s="16">
        <v>6.31</v>
      </c>
      <c r="C121" s="16">
        <v>13.5</v>
      </c>
      <c r="D121" s="16">
        <v>2.56</v>
      </c>
      <c r="E121" s="16">
        <v>3.44</v>
      </c>
      <c r="F121" s="16">
        <v>4.13</v>
      </c>
      <c r="G121" s="16">
        <v>5.19</v>
      </c>
      <c r="H121" s="16">
        <v>6.56</v>
      </c>
    </row>
    <row r="122">
      <c r="A122" s="16">
        <v>4.64</v>
      </c>
      <c r="B122" s="16">
        <v>7.36</v>
      </c>
      <c r="C122" s="16">
        <v>10.29</v>
      </c>
      <c r="D122" s="16">
        <v>2.64</v>
      </c>
      <c r="E122" s="16">
        <v>8.43</v>
      </c>
      <c r="F122" s="16">
        <v>2.79</v>
      </c>
      <c r="G122" s="16">
        <v>2.21</v>
      </c>
      <c r="H122" s="16">
        <v>5.79</v>
      </c>
    </row>
    <row r="123">
      <c r="A123" s="16">
        <v>3.53</v>
      </c>
      <c r="B123" s="16">
        <v>5.67</v>
      </c>
      <c r="C123" s="16">
        <v>6.13</v>
      </c>
      <c r="D123" s="16">
        <v>3.2</v>
      </c>
      <c r="E123" s="16">
        <v>8.4</v>
      </c>
      <c r="F123" s="16">
        <v>3.33</v>
      </c>
      <c r="G123" s="16">
        <v>4.33</v>
      </c>
      <c r="H123" s="16">
        <v>6.93</v>
      </c>
    </row>
    <row r="124">
      <c r="A124" s="16">
        <v>3.25</v>
      </c>
      <c r="B124" s="16">
        <v>6.56</v>
      </c>
      <c r="C124" s="16">
        <v>9.94</v>
      </c>
      <c r="D124" s="16">
        <v>2.81</v>
      </c>
      <c r="E124" s="16">
        <v>7.38</v>
      </c>
      <c r="F124" s="16">
        <v>3.31</v>
      </c>
      <c r="G124" s="16">
        <v>3.56</v>
      </c>
      <c r="H124" s="16">
        <v>6.88</v>
      </c>
    </row>
    <row r="125">
      <c r="A125" s="16" t="s">
        <v>1073</v>
      </c>
      <c r="B125" s="16" t="s">
        <v>1073</v>
      </c>
      <c r="C125" s="16" t="s">
        <v>1073</v>
      </c>
      <c r="D125" s="16" t="s">
        <v>1073</v>
      </c>
      <c r="E125" s="16" t="s">
        <v>1073</v>
      </c>
      <c r="F125" s="16" t="s">
        <v>1073</v>
      </c>
      <c r="G125" s="16" t="s">
        <v>1073</v>
      </c>
      <c r="H125" s="16" t="s">
        <v>1073</v>
      </c>
    </row>
    <row r="126">
      <c r="A126" s="16">
        <v>2.07</v>
      </c>
      <c r="B126" s="16">
        <v>6.0</v>
      </c>
      <c r="C126" s="16">
        <v>1.29</v>
      </c>
      <c r="D126" s="16">
        <v>3.86</v>
      </c>
      <c r="E126" s="16">
        <v>2.36</v>
      </c>
      <c r="F126" s="16">
        <v>3.71</v>
      </c>
      <c r="G126" s="16">
        <v>2.14</v>
      </c>
      <c r="H126" s="16">
        <v>2.79</v>
      </c>
    </row>
    <row r="127">
      <c r="A127" s="16">
        <v>2.14</v>
      </c>
      <c r="B127" s="16">
        <v>9.14</v>
      </c>
      <c r="C127" s="16">
        <v>2.36</v>
      </c>
      <c r="D127" s="16">
        <v>2.64</v>
      </c>
      <c r="E127" s="16">
        <v>2.79</v>
      </c>
      <c r="F127" s="16">
        <v>2.93</v>
      </c>
      <c r="G127" s="16">
        <v>2.21</v>
      </c>
      <c r="H127" s="16">
        <v>2.43</v>
      </c>
    </row>
    <row r="128">
      <c r="A128" s="16">
        <v>1.67</v>
      </c>
      <c r="B128" s="16">
        <v>7.13</v>
      </c>
      <c r="C128" s="16">
        <v>1.2</v>
      </c>
      <c r="D128" s="16">
        <v>3.33</v>
      </c>
      <c r="E128" s="16">
        <v>1.47</v>
      </c>
      <c r="F128" s="16">
        <v>1.8</v>
      </c>
      <c r="G128" s="16">
        <v>2.4</v>
      </c>
      <c r="H128" s="16">
        <v>3.93</v>
      </c>
    </row>
    <row r="129">
      <c r="A129" s="16">
        <v>2.06</v>
      </c>
      <c r="B129" s="16">
        <v>8.06</v>
      </c>
      <c r="C129" s="16">
        <v>1.19</v>
      </c>
      <c r="D129" s="16">
        <v>3.25</v>
      </c>
      <c r="E129" s="16">
        <v>3.31</v>
      </c>
      <c r="F129" s="16">
        <v>1.94</v>
      </c>
      <c r="G129" s="16">
        <v>1.63</v>
      </c>
      <c r="H129" s="16">
        <v>4.25</v>
      </c>
    </row>
    <row r="130">
      <c r="A130" s="16">
        <v>2.44</v>
      </c>
      <c r="B130" s="16">
        <v>7.63</v>
      </c>
      <c r="C130" s="16">
        <v>1.69</v>
      </c>
      <c r="D130" s="16">
        <v>3.75</v>
      </c>
      <c r="E130" s="16">
        <v>2.63</v>
      </c>
      <c r="F130" s="16">
        <v>2.69</v>
      </c>
      <c r="G130" s="16">
        <v>1.5</v>
      </c>
      <c r="H130" s="16">
        <v>2.5</v>
      </c>
    </row>
    <row r="131">
      <c r="A131" s="16">
        <v>3.27</v>
      </c>
      <c r="B131" s="16">
        <v>9.27</v>
      </c>
      <c r="C131" s="16">
        <v>1.73</v>
      </c>
      <c r="D131" s="16">
        <v>4.93</v>
      </c>
      <c r="E131" s="16">
        <v>2.13</v>
      </c>
      <c r="F131" s="16">
        <v>2.27</v>
      </c>
      <c r="G131" s="16">
        <v>2.0</v>
      </c>
      <c r="H131" s="16">
        <v>2.6</v>
      </c>
    </row>
    <row r="132">
      <c r="A132" s="16">
        <v>1.44</v>
      </c>
      <c r="B132" s="16">
        <v>8.13</v>
      </c>
      <c r="C132" s="16">
        <v>1.88</v>
      </c>
      <c r="D132" s="16">
        <v>4.19</v>
      </c>
      <c r="E132" s="16">
        <v>2.56</v>
      </c>
      <c r="F132" s="16">
        <v>1.44</v>
      </c>
      <c r="G132" s="16">
        <v>1.81</v>
      </c>
      <c r="H132" s="16">
        <v>1.94</v>
      </c>
    </row>
    <row r="133">
      <c r="A133" s="16">
        <v>2.4</v>
      </c>
      <c r="B133" s="16">
        <v>5.6</v>
      </c>
      <c r="C133" s="16">
        <v>1.93</v>
      </c>
      <c r="D133" s="16">
        <v>2.67</v>
      </c>
      <c r="E133" s="16">
        <v>4.4</v>
      </c>
      <c r="F133" s="16">
        <v>2.67</v>
      </c>
      <c r="G133" s="16">
        <v>3.4</v>
      </c>
      <c r="H133" s="16">
        <v>2.33</v>
      </c>
    </row>
    <row r="134">
      <c r="A134" s="16">
        <v>1.2</v>
      </c>
      <c r="B134" s="16">
        <v>6.93</v>
      </c>
      <c r="C134" s="16">
        <v>1.47</v>
      </c>
      <c r="D134" s="16">
        <v>5.53</v>
      </c>
      <c r="E134" s="16">
        <v>2.07</v>
      </c>
      <c r="F134" s="16">
        <v>2.0</v>
      </c>
      <c r="G134" s="16">
        <v>1.93</v>
      </c>
      <c r="H134" s="16">
        <v>2.07</v>
      </c>
    </row>
    <row r="135">
      <c r="A135" s="16">
        <v>2.0</v>
      </c>
      <c r="B135" s="16">
        <v>5.33</v>
      </c>
      <c r="C135" s="16">
        <v>0.73</v>
      </c>
      <c r="D135" s="16">
        <v>4.93</v>
      </c>
      <c r="E135" s="16">
        <v>3.07</v>
      </c>
      <c r="F135" s="16">
        <v>1.6</v>
      </c>
      <c r="G135" s="16">
        <v>1.13</v>
      </c>
      <c r="H135" s="16">
        <v>4.07</v>
      </c>
    </row>
    <row r="136">
      <c r="A136" s="16">
        <v>2.6</v>
      </c>
      <c r="B136" s="16">
        <v>7.67</v>
      </c>
      <c r="C136" s="16">
        <v>0.73</v>
      </c>
      <c r="D136" s="16">
        <v>4.47</v>
      </c>
      <c r="E136" s="16">
        <v>4.13</v>
      </c>
      <c r="F136" s="16">
        <v>2.8</v>
      </c>
      <c r="G136" s="16">
        <v>3.2</v>
      </c>
      <c r="H136" s="16">
        <v>2.47</v>
      </c>
    </row>
    <row r="137">
      <c r="A137" s="16">
        <v>2.33</v>
      </c>
      <c r="B137" s="16">
        <v>8.8</v>
      </c>
      <c r="C137" s="16">
        <v>1.87</v>
      </c>
      <c r="D137" s="16">
        <v>3.67</v>
      </c>
      <c r="E137" s="16">
        <v>1.13</v>
      </c>
      <c r="F137" s="16">
        <v>2.93</v>
      </c>
      <c r="G137" s="16">
        <v>2.47</v>
      </c>
      <c r="H137" s="16">
        <v>3.93</v>
      </c>
    </row>
    <row r="138">
      <c r="A138" s="16">
        <v>1.38</v>
      </c>
      <c r="B138" s="16">
        <v>5.92</v>
      </c>
      <c r="C138" s="16">
        <v>0.69</v>
      </c>
      <c r="D138" s="16">
        <v>4.31</v>
      </c>
      <c r="E138" s="16">
        <v>2.69</v>
      </c>
      <c r="F138" s="16">
        <v>2.38</v>
      </c>
      <c r="G138" s="16">
        <v>1.85</v>
      </c>
      <c r="H138" s="16">
        <v>3.0</v>
      </c>
    </row>
    <row r="139">
      <c r="A139" s="16">
        <v>2.07</v>
      </c>
      <c r="B139" s="16">
        <v>6.73</v>
      </c>
      <c r="C139" s="16">
        <v>1.8</v>
      </c>
      <c r="D139" s="16">
        <v>4.6</v>
      </c>
      <c r="E139" s="16">
        <v>1.67</v>
      </c>
      <c r="F139" s="16">
        <v>1.73</v>
      </c>
      <c r="G139" s="16">
        <v>2.93</v>
      </c>
      <c r="H139" s="16">
        <v>2.8</v>
      </c>
    </row>
    <row r="140">
      <c r="A140" s="16">
        <v>2.38</v>
      </c>
      <c r="B140" s="16">
        <v>7.13</v>
      </c>
      <c r="C140" s="16">
        <v>2.0</v>
      </c>
      <c r="D140" s="16">
        <v>2.56</v>
      </c>
      <c r="E140" s="16">
        <v>2.44</v>
      </c>
      <c r="F140" s="16">
        <v>3.94</v>
      </c>
      <c r="G140" s="16">
        <v>1.38</v>
      </c>
      <c r="H140" s="16">
        <v>2.75</v>
      </c>
    </row>
    <row r="141">
      <c r="A141" s="16">
        <v>2.53</v>
      </c>
      <c r="B141" s="16">
        <v>7.87</v>
      </c>
      <c r="C141" s="16">
        <v>1.33</v>
      </c>
      <c r="D141" s="16">
        <v>3.4</v>
      </c>
      <c r="E141" s="16">
        <v>2.93</v>
      </c>
      <c r="F141" s="16">
        <v>2.73</v>
      </c>
      <c r="G141" s="16">
        <v>3.0</v>
      </c>
      <c r="H141" s="16">
        <v>3.53</v>
      </c>
    </row>
    <row r="142">
      <c r="A142" s="16">
        <v>3.36</v>
      </c>
      <c r="B142" s="16">
        <v>7.29</v>
      </c>
      <c r="C142" s="16">
        <v>0.86</v>
      </c>
      <c r="D142" s="16">
        <v>2.79</v>
      </c>
      <c r="E142" s="16">
        <v>2.21</v>
      </c>
      <c r="F142" s="16">
        <v>2.64</v>
      </c>
      <c r="G142" s="16">
        <v>1.71</v>
      </c>
      <c r="H142" s="16">
        <v>3.64</v>
      </c>
    </row>
    <row r="143">
      <c r="A143" s="16">
        <v>2.0</v>
      </c>
      <c r="B143" s="16">
        <v>6.71</v>
      </c>
      <c r="C143" s="16">
        <v>1.71</v>
      </c>
      <c r="D143" s="16">
        <v>4.0</v>
      </c>
      <c r="E143" s="16">
        <v>2.71</v>
      </c>
      <c r="F143" s="16">
        <v>3.5</v>
      </c>
      <c r="G143" s="16">
        <v>3.5</v>
      </c>
      <c r="H143" s="16">
        <v>3.64</v>
      </c>
    </row>
    <row r="144">
      <c r="A144" s="16">
        <v>0.73</v>
      </c>
      <c r="B144" s="16">
        <v>6.6</v>
      </c>
      <c r="C144" s="16">
        <v>1.33</v>
      </c>
      <c r="D144" s="16">
        <v>4.6</v>
      </c>
      <c r="E144" s="16">
        <v>4.0</v>
      </c>
      <c r="F144" s="16">
        <v>1.87</v>
      </c>
      <c r="G144" s="16">
        <v>2.4</v>
      </c>
      <c r="H144" s="16">
        <v>2.27</v>
      </c>
    </row>
    <row r="145">
      <c r="A145" s="16">
        <v>2.57</v>
      </c>
      <c r="B145" s="16">
        <v>7.71</v>
      </c>
      <c r="C145" s="16">
        <v>1.14</v>
      </c>
      <c r="D145" s="16">
        <v>3.64</v>
      </c>
      <c r="E145" s="16">
        <v>2.5</v>
      </c>
      <c r="F145" s="16">
        <v>2.14</v>
      </c>
      <c r="G145" s="16">
        <v>2.0</v>
      </c>
      <c r="H145" s="16">
        <v>3.79</v>
      </c>
    </row>
    <row r="146">
      <c r="A146" s="16">
        <v>0.75</v>
      </c>
      <c r="B146" s="16">
        <v>8.63</v>
      </c>
      <c r="C146" s="16">
        <v>2.38</v>
      </c>
      <c r="D146" s="16">
        <v>4.88</v>
      </c>
      <c r="E146" s="16">
        <v>3.56</v>
      </c>
      <c r="F146" s="16">
        <v>2.56</v>
      </c>
      <c r="G146" s="16">
        <v>3.94</v>
      </c>
      <c r="H146" s="16">
        <v>1.94</v>
      </c>
    </row>
    <row r="147">
      <c r="A147" s="16">
        <v>2.13</v>
      </c>
      <c r="B147" s="16">
        <v>9.0</v>
      </c>
      <c r="C147" s="16">
        <v>1.07</v>
      </c>
      <c r="D147" s="16">
        <v>4.13</v>
      </c>
      <c r="E147" s="16">
        <v>2.47</v>
      </c>
      <c r="F147" s="16">
        <v>3.0</v>
      </c>
      <c r="G147" s="16">
        <v>2.13</v>
      </c>
      <c r="H147" s="16">
        <v>2.33</v>
      </c>
    </row>
    <row r="148">
      <c r="A148" s="16">
        <v>2.73</v>
      </c>
      <c r="B148" s="16">
        <v>5.87</v>
      </c>
      <c r="C148" s="16">
        <v>1.93</v>
      </c>
      <c r="D148" s="16">
        <v>3.13</v>
      </c>
      <c r="E148" s="16">
        <v>2.2</v>
      </c>
      <c r="F148" s="16">
        <v>2.2</v>
      </c>
      <c r="G148" s="16">
        <v>1.4</v>
      </c>
      <c r="H148" s="16">
        <v>4.07</v>
      </c>
    </row>
    <row r="149">
      <c r="A149" s="16">
        <v>3.25</v>
      </c>
      <c r="B149" s="16">
        <v>7.75</v>
      </c>
      <c r="C149" s="16">
        <v>1.88</v>
      </c>
      <c r="D149" s="16">
        <v>1.94</v>
      </c>
      <c r="E149" s="16">
        <v>2.81</v>
      </c>
      <c r="F149" s="16">
        <v>2.63</v>
      </c>
      <c r="G149" s="16">
        <v>1.94</v>
      </c>
      <c r="H149" s="16">
        <v>2.75</v>
      </c>
    </row>
    <row r="150">
      <c r="A150" s="16">
        <v>1.07</v>
      </c>
      <c r="B150" s="16">
        <v>9.13</v>
      </c>
      <c r="C150" s="16">
        <v>2.2</v>
      </c>
      <c r="D150" s="16">
        <v>2.2</v>
      </c>
      <c r="E150" s="16">
        <v>2.47</v>
      </c>
      <c r="F150" s="16">
        <v>3.0</v>
      </c>
      <c r="G150" s="16">
        <v>2.73</v>
      </c>
      <c r="H150" s="16">
        <v>2.47</v>
      </c>
    </row>
    <row r="151">
      <c r="A151" s="16">
        <v>2.47</v>
      </c>
      <c r="B151" s="16">
        <v>6.27</v>
      </c>
      <c r="C151" s="16">
        <v>0.47</v>
      </c>
      <c r="D151" s="16">
        <v>4.0</v>
      </c>
      <c r="E151" s="16">
        <v>3.67</v>
      </c>
      <c r="F151" s="16">
        <v>2.93</v>
      </c>
      <c r="G151" s="16">
        <v>2.0</v>
      </c>
      <c r="H151" s="16">
        <v>3.27</v>
      </c>
    </row>
    <row r="152">
      <c r="A152" s="16">
        <v>1.88</v>
      </c>
      <c r="B152" s="16">
        <v>5.44</v>
      </c>
      <c r="C152" s="16">
        <v>2.25</v>
      </c>
      <c r="D152" s="16">
        <v>3.31</v>
      </c>
      <c r="E152" s="16">
        <v>0.88</v>
      </c>
      <c r="F152" s="16">
        <v>3.31</v>
      </c>
      <c r="G152" s="16">
        <v>2.94</v>
      </c>
      <c r="H152" s="16">
        <v>2.75</v>
      </c>
    </row>
    <row r="153">
      <c r="A153" s="16">
        <v>1.93</v>
      </c>
      <c r="B153" s="16">
        <v>7.57</v>
      </c>
      <c r="C153" s="16">
        <v>1.36</v>
      </c>
      <c r="D153" s="16">
        <v>2.21</v>
      </c>
      <c r="E153" s="16">
        <v>2.71</v>
      </c>
      <c r="F153" s="16">
        <v>2.64</v>
      </c>
      <c r="G153" s="16">
        <v>2.93</v>
      </c>
      <c r="H153" s="16">
        <v>2.79</v>
      </c>
    </row>
    <row r="154">
      <c r="A154" s="16">
        <v>1.47</v>
      </c>
      <c r="B154" s="16">
        <v>5.67</v>
      </c>
      <c r="C154" s="16">
        <v>2.2</v>
      </c>
      <c r="D154" s="16">
        <v>4.27</v>
      </c>
      <c r="E154" s="16">
        <v>2.8</v>
      </c>
      <c r="F154" s="16">
        <v>2.53</v>
      </c>
      <c r="G154" s="16">
        <v>2.53</v>
      </c>
      <c r="H154" s="16">
        <v>1.8</v>
      </c>
    </row>
    <row r="155">
      <c r="A155" s="16">
        <v>2.0</v>
      </c>
      <c r="B155" s="16">
        <v>7.19</v>
      </c>
      <c r="C155" s="16">
        <v>1.69</v>
      </c>
      <c r="D155" s="16">
        <v>3.13</v>
      </c>
      <c r="E155" s="16">
        <v>3.56</v>
      </c>
      <c r="F155" s="16">
        <v>2.38</v>
      </c>
      <c r="G155" s="16">
        <v>1.94</v>
      </c>
      <c r="H155" s="16">
        <v>3.19</v>
      </c>
    </row>
    <row r="156">
      <c r="A156" s="16" t="s">
        <v>1074</v>
      </c>
      <c r="B156" s="16" t="s">
        <v>1074</v>
      </c>
      <c r="C156" s="16" t="s">
        <v>1074</v>
      </c>
      <c r="D156" s="16" t="s">
        <v>1074</v>
      </c>
      <c r="E156" s="16" t="s">
        <v>1074</v>
      </c>
      <c r="F156" s="16" t="s">
        <v>1074</v>
      </c>
      <c r="G156" s="16" t="s">
        <v>1074</v>
      </c>
      <c r="H156" s="16" t="s">
        <v>1074</v>
      </c>
    </row>
    <row r="157">
      <c r="A157" s="16">
        <v>1.21</v>
      </c>
      <c r="B157" s="16">
        <v>1.43</v>
      </c>
      <c r="C157" s="16">
        <v>0.79</v>
      </c>
      <c r="D157" s="16">
        <v>1.21</v>
      </c>
      <c r="E157" s="16">
        <v>0.93</v>
      </c>
      <c r="F157" s="16">
        <v>0.64</v>
      </c>
      <c r="G157" s="16">
        <v>1.57</v>
      </c>
      <c r="H157" s="16">
        <v>1.07</v>
      </c>
    </row>
    <row r="158">
      <c r="A158" s="16">
        <v>1.07</v>
      </c>
      <c r="B158" s="16">
        <v>1.43</v>
      </c>
      <c r="C158" s="16">
        <v>1.14</v>
      </c>
      <c r="D158" s="16">
        <v>0.57</v>
      </c>
      <c r="E158" s="16">
        <v>0.86</v>
      </c>
      <c r="F158" s="16">
        <v>0.64</v>
      </c>
      <c r="G158" s="16">
        <v>1.29</v>
      </c>
      <c r="H158" s="16">
        <v>1.21</v>
      </c>
    </row>
    <row r="159">
      <c r="A159" s="16">
        <v>0.6</v>
      </c>
      <c r="B159" s="16">
        <v>1.33</v>
      </c>
      <c r="C159" s="16">
        <v>0.53</v>
      </c>
      <c r="D159" s="16">
        <v>1.2</v>
      </c>
      <c r="E159" s="16">
        <v>0.53</v>
      </c>
      <c r="F159" s="16">
        <v>0.53</v>
      </c>
      <c r="G159" s="16">
        <v>1.33</v>
      </c>
      <c r="H159" s="16">
        <v>1.6</v>
      </c>
    </row>
    <row r="160">
      <c r="A160" s="16">
        <v>1.06</v>
      </c>
      <c r="B160" s="16">
        <v>1.75</v>
      </c>
      <c r="C160" s="16">
        <v>1.13</v>
      </c>
      <c r="D160" s="16">
        <v>0.5</v>
      </c>
      <c r="E160" s="16">
        <v>1.0</v>
      </c>
      <c r="F160" s="16">
        <v>0.44</v>
      </c>
      <c r="G160" s="16">
        <v>0.81</v>
      </c>
      <c r="H160" s="16">
        <v>1.31</v>
      </c>
    </row>
    <row r="161">
      <c r="A161" s="16">
        <v>1.19</v>
      </c>
      <c r="B161" s="16">
        <v>1.5</v>
      </c>
      <c r="C161" s="16">
        <v>0.56</v>
      </c>
      <c r="D161" s="16">
        <v>0.81</v>
      </c>
      <c r="E161" s="16">
        <v>1.38</v>
      </c>
      <c r="F161" s="16">
        <v>0.88</v>
      </c>
      <c r="G161" s="16">
        <v>0.88</v>
      </c>
      <c r="H161" s="16">
        <v>1.06</v>
      </c>
    </row>
    <row r="162">
      <c r="A162" s="16">
        <v>1.0</v>
      </c>
      <c r="B162" s="16">
        <v>1.73</v>
      </c>
      <c r="C162" s="16">
        <v>1.13</v>
      </c>
      <c r="D162" s="16">
        <v>1.27</v>
      </c>
      <c r="E162" s="16">
        <v>0.87</v>
      </c>
      <c r="F162" s="16">
        <v>0.73</v>
      </c>
      <c r="G162" s="16">
        <v>0.8</v>
      </c>
      <c r="H162" s="16">
        <v>1.13</v>
      </c>
    </row>
    <row r="163">
      <c r="A163" s="16">
        <v>0.88</v>
      </c>
      <c r="B163" s="16">
        <v>1.63</v>
      </c>
      <c r="C163" s="16">
        <v>1.0</v>
      </c>
      <c r="D163" s="16">
        <v>0.69</v>
      </c>
      <c r="E163" s="16">
        <v>1.13</v>
      </c>
      <c r="F163" s="16">
        <v>0.63</v>
      </c>
      <c r="G163" s="16">
        <v>0.81</v>
      </c>
      <c r="H163" s="16">
        <v>0.56</v>
      </c>
    </row>
    <row r="164">
      <c r="A164" s="16">
        <v>0.6</v>
      </c>
      <c r="B164" s="16">
        <v>1.6</v>
      </c>
      <c r="C164" s="16">
        <v>1.0</v>
      </c>
      <c r="D164" s="16">
        <v>0.87</v>
      </c>
      <c r="E164" s="16">
        <v>1.0</v>
      </c>
      <c r="F164" s="16">
        <v>1.0</v>
      </c>
      <c r="G164" s="16">
        <v>1.6</v>
      </c>
      <c r="H164" s="16">
        <v>1.27</v>
      </c>
    </row>
    <row r="165">
      <c r="A165" s="16">
        <v>1.4</v>
      </c>
      <c r="B165" s="16">
        <v>1.13</v>
      </c>
      <c r="C165" s="16">
        <v>0.6</v>
      </c>
      <c r="D165" s="16">
        <v>1.4</v>
      </c>
      <c r="E165" s="16">
        <v>1.0</v>
      </c>
      <c r="F165" s="16">
        <v>1.07</v>
      </c>
      <c r="G165" s="16">
        <v>1.2</v>
      </c>
      <c r="H165" s="16">
        <v>1.07</v>
      </c>
    </row>
    <row r="166">
      <c r="A166" s="16">
        <v>1.47</v>
      </c>
      <c r="B166" s="16">
        <v>1.73</v>
      </c>
      <c r="C166" s="16">
        <v>0.8</v>
      </c>
      <c r="D166" s="16">
        <v>1.33</v>
      </c>
      <c r="E166" s="16">
        <v>0.73</v>
      </c>
      <c r="F166" s="16">
        <v>0.4</v>
      </c>
      <c r="G166" s="16">
        <v>0.67</v>
      </c>
      <c r="H166" s="16">
        <v>1.73</v>
      </c>
    </row>
    <row r="167">
      <c r="A167" s="16">
        <v>1.13</v>
      </c>
      <c r="B167" s="16">
        <v>1.53</v>
      </c>
      <c r="C167" s="16">
        <v>0.67</v>
      </c>
      <c r="D167" s="16">
        <v>1.2</v>
      </c>
      <c r="E167" s="16">
        <v>0.87</v>
      </c>
      <c r="F167" s="16">
        <v>0.87</v>
      </c>
      <c r="G167" s="16">
        <v>1.6</v>
      </c>
      <c r="H167" s="16">
        <v>1.6</v>
      </c>
    </row>
    <row r="168">
      <c r="A168" s="16">
        <v>0.87</v>
      </c>
      <c r="B168" s="16">
        <v>1.47</v>
      </c>
      <c r="C168" s="16">
        <v>1.13</v>
      </c>
      <c r="D168" s="16">
        <v>0.73</v>
      </c>
      <c r="E168" s="16">
        <v>0.53</v>
      </c>
      <c r="F168" s="16">
        <v>0.73</v>
      </c>
      <c r="G168" s="16">
        <v>0.87</v>
      </c>
      <c r="H168" s="16">
        <v>1.47</v>
      </c>
    </row>
    <row r="169">
      <c r="A169" s="16">
        <v>1.23</v>
      </c>
      <c r="B169" s="16">
        <v>1.46</v>
      </c>
      <c r="C169" s="16">
        <v>0.77</v>
      </c>
      <c r="D169" s="16">
        <v>1.15</v>
      </c>
      <c r="E169" s="16">
        <v>0.85</v>
      </c>
      <c r="F169" s="16">
        <v>0.54</v>
      </c>
      <c r="G169" s="16">
        <v>0.92</v>
      </c>
      <c r="H169" s="16">
        <v>0.92</v>
      </c>
    </row>
    <row r="170">
      <c r="A170" s="16">
        <v>1.07</v>
      </c>
      <c r="B170" s="16">
        <v>1.0</v>
      </c>
      <c r="C170" s="16">
        <v>0.93</v>
      </c>
      <c r="D170" s="16">
        <v>1.33</v>
      </c>
      <c r="E170" s="16">
        <v>0.67</v>
      </c>
      <c r="F170" s="16">
        <v>0.6</v>
      </c>
      <c r="G170" s="16">
        <v>0.67</v>
      </c>
      <c r="H170" s="16">
        <v>1.2</v>
      </c>
    </row>
    <row r="171">
      <c r="A171" s="16">
        <v>1.13</v>
      </c>
      <c r="B171" s="16">
        <v>1.25</v>
      </c>
      <c r="C171" s="16">
        <v>0.63</v>
      </c>
      <c r="D171" s="16">
        <v>0.63</v>
      </c>
      <c r="E171" s="16">
        <v>0.81</v>
      </c>
      <c r="F171" s="16">
        <v>0.5</v>
      </c>
      <c r="G171" s="16">
        <v>1.06</v>
      </c>
      <c r="H171" s="16">
        <v>0.88</v>
      </c>
    </row>
    <row r="172">
      <c r="A172" s="16">
        <v>0.87</v>
      </c>
      <c r="B172" s="16">
        <v>1.4</v>
      </c>
      <c r="C172" s="16">
        <v>0.67</v>
      </c>
      <c r="D172" s="16">
        <v>1.07</v>
      </c>
      <c r="E172" s="16">
        <v>0.87</v>
      </c>
      <c r="F172" s="16">
        <v>0.4</v>
      </c>
      <c r="G172" s="16">
        <v>0.53</v>
      </c>
      <c r="H172" s="16">
        <v>1.07</v>
      </c>
    </row>
    <row r="173">
      <c r="A173" s="16">
        <v>1.14</v>
      </c>
      <c r="B173" s="16">
        <v>1.36</v>
      </c>
      <c r="C173" s="16">
        <v>0.43</v>
      </c>
      <c r="D173" s="16">
        <v>0.71</v>
      </c>
      <c r="E173" s="16">
        <v>0.71</v>
      </c>
      <c r="F173" s="16">
        <v>1.07</v>
      </c>
      <c r="G173" s="16">
        <v>1.07</v>
      </c>
      <c r="H173" s="16">
        <v>0.86</v>
      </c>
    </row>
    <row r="174">
      <c r="A174" s="16">
        <v>1.07</v>
      </c>
      <c r="B174" s="16">
        <v>1.36</v>
      </c>
      <c r="C174" s="16">
        <v>0.79</v>
      </c>
      <c r="D174" s="16">
        <v>1.14</v>
      </c>
      <c r="E174" s="16">
        <v>0.93</v>
      </c>
      <c r="F174" s="16">
        <v>0.93</v>
      </c>
      <c r="G174" s="16">
        <v>1.43</v>
      </c>
      <c r="H174" s="16">
        <v>1.0</v>
      </c>
    </row>
    <row r="175">
      <c r="A175" s="16">
        <v>0.33</v>
      </c>
      <c r="B175" s="16">
        <v>2.13</v>
      </c>
      <c r="C175" s="16">
        <v>0.73</v>
      </c>
      <c r="D175" s="16">
        <v>1.87</v>
      </c>
      <c r="E175" s="16">
        <v>1.4</v>
      </c>
      <c r="F175" s="16">
        <v>0.27</v>
      </c>
      <c r="G175" s="16">
        <v>0.67</v>
      </c>
      <c r="H175" s="16">
        <v>0.93</v>
      </c>
    </row>
    <row r="176">
      <c r="A176" s="16">
        <v>0.86</v>
      </c>
      <c r="B176" s="16">
        <v>0.86</v>
      </c>
      <c r="C176" s="16">
        <v>0.43</v>
      </c>
      <c r="D176" s="16">
        <v>0.93</v>
      </c>
      <c r="E176" s="16">
        <v>0.86</v>
      </c>
      <c r="F176" s="16">
        <v>0.57</v>
      </c>
      <c r="G176" s="16">
        <v>0.5</v>
      </c>
      <c r="H176" s="16">
        <v>1.07</v>
      </c>
    </row>
    <row r="177">
      <c r="A177" s="16">
        <v>0.5</v>
      </c>
      <c r="B177" s="16">
        <v>2.25</v>
      </c>
      <c r="C177" s="16">
        <v>0.88</v>
      </c>
      <c r="D177" s="16">
        <v>1.56</v>
      </c>
      <c r="E177" s="16">
        <v>0.56</v>
      </c>
      <c r="F177" s="16">
        <v>1.56</v>
      </c>
      <c r="G177" s="16">
        <v>1.75</v>
      </c>
      <c r="H177" s="16">
        <v>0.69</v>
      </c>
    </row>
    <row r="178">
      <c r="A178" s="16">
        <v>0.93</v>
      </c>
      <c r="B178" s="16">
        <v>1.33</v>
      </c>
      <c r="C178" s="16">
        <v>0.8</v>
      </c>
      <c r="D178" s="16">
        <v>0.8</v>
      </c>
      <c r="E178" s="16">
        <v>1.13</v>
      </c>
      <c r="F178" s="16">
        <v>0.33</v>
      </c>
      <c r="G178" s="16">
        <v>0.67</v>
      </c>
      <c r="H178" s="16">
        <v>0.6</v>
      </c>
    </row>
    <row r="179">
      <c r="A179" s="16">
        <v>0.93</v>
      </c>
      <c r="B179" s="16">
        <v>1.6</v>
      </c>
      <c r="C179" s="16">
        <v>1.07</v>
      </c>
      <c r="D179" s="16">
        <v>0.53</v>
      </c>
      <c r="E179" s="16">
        <v>1.0</v>
      </c>
      <c r="F179" s="16">
        <v>0.4</v>
      </c>
      <c r="G179" s="16">
        <v>0.13</v>
      </c>
      <c r="H179" s="16">
        <v>1.0</v>
      </c>
    </row>
    <row r="180">
      <c r="A180" s="16">
        <v>0.94</v>
      </c>
      <c r="B180" s="16">
        <v>1.38</v>
      </c>
      <c r="C180" s="16">
        <v>0.69</v>
      </c>
      <c r="D180" s="16">
        <v>0.63</v>
      </c>
      <c r="E180" s="16">
        <v>1.31</v>
      </c>
      <c r="F180" s="16">
        <v>0.69</v>
      </c>
      <c r="G180" s="16">
        <v>0.69</v>
      </c>
      <c r="H180" s="16">
        <v>1.13</v>
      </c>
    </row>
    <row r="181">
      <c r="A181" s="16">
        <v>0.6</v>
      </c>
      <c r="B181" s="16">
        <v>1.4</v>
      </c>
      <c r="C181" s="16">
        <v>0.47</v>
      </c>
      <c r="D181" s="16">
        <v>0.4</v>
      </c>
      <c r="E181" s="16">
        <v>0.67</v>
      </c>
      <c r="F181" s="16">
        <v>0.8</v>
      </c>
      <c r="G181" s="16">
        <v>0.87</v>
      </c>
      <c r="H181" s="16">
        <v>0.73</v>
      </c>
    </row>
    <row r="182">
      <c r="A182" s="16">
        <v>0.8</v>
      </c>
      <c r="B182" s="16">
        <v>1.47</v>
      </c>
      <c r="C182" s="16">
        <v>1.07</v>
      </c>
      <c r="D182" s="16">
        <v>0.87</v>
      </c>
      <c r="E182" s="16">
        <v>0.67</v>
      </c>
      <c r="F182" s="16">
        <v>1.0</v>
      </c>
      <c r="G182" s="16">
        <v>0.73</v>
      </c>
      <c r="H182" s="16">
        <v>0.93</v>
      </c>
    </row>
    <row r="183">
      <c r="A183" s="16">
        <v>1.25</v>
      </c>
      <c r="B183" s="16">
        <v>1.56</v>
      </c>
      <c r="C183" s="16">
        <v>0.75</v>
      </c>
      <c r="D183" s="16">
        <v>0.63</v>
      </c>
      <c r="E183" s="16">
        <v>0.38</v>
      </c>
      <c r="F183" s="16">
        <v>0.75</v>
      </c>
      <c r="G183" s="16">
        <v>0.88</v>
      </c>
      <c r="H183" s="16">
        <v>0.44</v>
      </c>
    </row>
    <row r="184">
      <c r="A184" s="16">
        <v>0.79</v>
      </c>
      <c r="B184" s="16">
        <v>1.36</v>
      </c>
      <c r="C184" s="16">
        <v>0.57</v>
      </c>
      <c r="D184" s="16">
        <v>0.86</v>
      </c>
      <c r="E184" s="16">
        <v>0.86</v>
      </c>
      <c r="F184" s="16">
        <v>0.29</v>
      </c>
      <c r="G184" s="16">
        <v>0.57</v>
      </c>
      <c r="H184" s="16">
        <v>0.64</v>
      </c>
    </row>
    <row r="185">
      <c r="A185" s="16">
        <v>0.87</v>
      </c>
      <c r="B185" s="16">
        <v>1.47</v>
      </c>
      <c r="C185" s="16">
        <v>1.2</v>
      </c>
      <c r="D185" s="16">
        <v>1.13</v>
      </c>
      <c r="E185" s="16">
        <v>0.27</v>
      </c>
      <c r="F185" s="16">
        <v>1.2</v>
      </c>
      <c r="G185" s="16">
        <v>1.47</v>
      </c>
      <c r="H185" s="16">
        <v>1.47</v>
      </c>
    </row>
    <row r="186">
      <c r="A186" s="16">
        <v>0.38</v>
      </c>
      <c r="B186" s="16">
        <v>1.81</v>
      </c>
      <c r="C186" s="16">
        <v>1.0</v>
      </c>
      <c r="D186" s="16">
        <v>1.13</v>
      </c>
      <c r="E186" s="16">
        <v>1.5</v>
      </c>
      <c r="F186" s="16">
        <v>0.75</v>
      </c>
      <c r="G186" s="16">
        <v>0.81</v>
      </c>
      <c r="H186" s="16">
        <v>1.06</v>
      </c>
    </row>
    <row r="187">
      <c r="A187" s="16" t="s">
        <v>1075</v>
      </c>
      <c r="B187" s="16" t="s">
        <v>1075</v>
      </c>
      <c r="C187" s="16" t="s">
        <v>1075</v>
      </c>
      <c r="D187" s="16" t="s">
        <v>1075</v>
      </c>
      <c r="E187" s="16" t="s">
        <v>1075</v>
      </c>
      <c r="F187" s="16" t="s">
        <v>1075</v>
      </c>
      <c r="G187" s="16" t="s">
        <v>1075</v>
      </c>
      <c r="H187" s="16" t="s">
        <v>1075</v>
      </c>
    </row>
    <row r="188">
      <c r="A188" s="16">
        <v>0.71</v>
      </c>
      <c r="B188" s="16">
        <v>0.14</v>
      </c>
      <c r="C188" s="16">
        <v>1.36</v>
      </c>
      <c r="D188" s="16">
        <v>0.29</v>
      </c>
      <c r="E188" s="16">
        <v>0.71</v>
      </c>
      <c r="F188" s="16">
        <v>0.5</v>
      </c>
      <c r="G188" s="16">
        <v>0.07</v>
      </c>
      <c r="H188" s="16">
        <v>0.64</v>
      </c>
    </row>
    <row r="189">
      <c r="A189" s="16">
        <v>0.79</v>
      </c>
      <c r="B189" s="16">
        <v>0.5</v>
      </c>
      <c r="C189" s="16">
        <v>1.0</v>
      </c>
      <c r="D189" s="16">
        <v>0.14</v>
      </c>
      <c r="E189" s="16">
        <v>0.36</v>
      </c>
      <c r="F189" s="16">
        <v>0.14</v>
      </c>
      <c r="G189" s="16">
        <v>0.64</v>
      </c>
      <c r="H189" s="16">
        <v>0.79</v>
      </c>
    </row>
    <row r="190">
      <c r="A190" s="16">
        <v>0.47</v>
      </c>
      <c r="B190" s="16">
        <v>0.47</v>
      </c>
      <c r="C190" s="16">
        <v>1.13</v>
      </c>
      <c r="D190" s="16">
        <v>0.13</v>
      </c>
      <c r="E190" s="16">
        <v>0.87</v>
      </c>
      <c r="F190" s="16">
        <v>0.13</v>
      </c>
      <c r="G190" s="16">
        <v>0.67</v>
      </c>
      <c r="H190" s="16">
        <v>1.0</v>
      </c>
    </row>
    <row r="191">
      <c r="A191" s="16">
        <v>0.69</v>
      </c>
      <c r="B191" s="16">
        <v>0.25</v>
      </c>
      <c r="C191" s="16">
        <v>2.06</v>
      </c>
      <c r="D191" s="16">
        <v>0.19</v>
      </c>
      <c r="E191" s="16">
        <v>0.44</v>
      </c>
      <c r="F191" s="16">
        <v>0.25</v>
      </c>
      <c r="G191" s="16">
        <v>0.38</v>
      </c>
      <c r="H191" s="16">
        <v>0.69</v>
      </c>
    </row>
    <row r="192">
      <c r="A192" s="16">
        <v>0.69</v>
      </c>
      <c r="B192" s="16">
        <v>0.56</v>
      </c>
      <c r="C192" s="16">
        <v>1.31</v>
      </c>
      <c r="D192" s="16">
        <v>0.0</v>
      </c>
      <c r="E192" s="16">
        <v>1.0</v>
      </c>
      <c r="F192" s="16">
        <v>0.13</v>
      </c>
      <c r="G192" s="16">
        <v>0.13</v>
      </c>
      <c r="H192" s="16">
        <v>0.81</v>
      </c>
    </row>
    <row r="193">
      <c r="A193" s="16">
        <v>0.87</v>
      </c>
      <c r="B193" s="16">
        <v>0.67</v>
      </c>
      <c r="C193" s="16">
        <v>1.87</v>
      </c>
      <c r="D193" s="16">
        <v>0.33</v>
      </c>
      <c r="E193" s="16">
        <v>0.6</v>
      </c>
      <c r="F193" s="16">
        <v>0.2</v>
      </c>
      <c r="G193" s="16">
        <v>0.07</v>
      </c>
      <c r="H193" s="16">
        <v>0.6</v>
      </c>
    </row>
    <row r="194">
      <c r="A194" s="16">
        <v>0.5</v>
      </c>
      <c r="B194" s="16">
        <v>0.31</v>
      </c>
      <c r="C194" s="16">
        <v>1.0</v>
      </c>
      <c r="D194" s="16">
        <v>0.13</v>
      </c>
      <c r="E194" s="16">
        <v>0.38</v>
      </c>
      <c r="F194" s="16">
        <v>0.25</v>
      </c>
      <c r="G194" s="16">
        <v>0.31</v>
      </c>
      <c r="H194" s="16">
        <v>0.38</v>
      </c>
    </row>
    <row r="195">
      <c r="A195" s="16">
        <v>0.6</v>
      </c>
      <c r="B195" s="16">
        <v>0.73</v>
      </c>
      <c r="C195" s="16">
        <v>0.93</v>
      </c>
      <c r="D195" s="16">
        <v>0.27</v>
      </c>
      <c r="E195" s="16">
        <v>1.07</v>
      </c>
      <c r="F195" s="16">
        <v>0.47</v>
      </c>
      <c r="G195" s="16">
        <v>0.27</v>
      </c>
      <c r="H195" s="16">
        <v>0.33</v>
      </c>
    </row>
    <row r="196">
      <c r="A196" s="16">
        <v>0.33</v>
      </c>
      <c r="B196" s="16">
        <v>0.93</v>
      </c>
      <c r="C196" s="16">
        <v>1.87</v>
      </c>
      <c r="D196" s="16">
        <v>0.27</v>
      </c>
      <c r="E196" s="16">
        <v>0.73</v>
      </c>
      <c r="F196" s="16">
        <v>0.07</v>
      </c>
      <c r="G196" s="16">
        <v>0.4</v>
      </c>
      <c r="H196" s="16">
        <v>0.87</v>
      </c>
    </row>
    <row r="197">
      <c r="A197" s="16">
        <v>0.13</v>
      </c>
      <c r="B197" s="16">
        <v>0.27</v>
      </c>
      <c r="C197" s="16">
        <v>1.47</v>
      </c>
      <c r="D197" s="16">
        <v>0.27</v>
      </c>
      <c r="E197" s="16">
        <v>0.47</v>
      </c>
      <c r="F197" s="16">
        <v>0.07</v>
      </c>
      <c r="G197" s="16">
        <v>0.0</v>
      </c>
      <c r="H197" s="16">
        <v>0.73</v>
      </c>
    </row>
    <row r="198">
      <c r="A198" s="16">
        <v>0.53</v>
      </c>
      <c r="B198" s="16">
        <v>0.87</v>
      </c>
      <c r="C198" s="16">
        <v>0.67</v>
      </c>
      <c r="D198" s="16">
        <v>0.07</v>
      </c>
      <c r="E198" s="16">
        <v>0.8</v>
      </c>
      <c r="F198" s="16">
        <v>0.67</v>
      </c>
      <c r="G198" s="16">
        <v>0.6</v>
      </c>
      <c r="H198" s="16">
        <v>0.6</v>
      </c>
    </row>
    <row r="199">
      <c r="A199" s="16">
        <v>0.67</v>
      </c>
      <c r="B199" s="16">
        <v>0.73</v>
      </c>
      <c r="C199" s="16">
        <v>2.0</v>
      </c>
      <c r="D199" s="16">
        <v>0.13</v>
      </c>
      <c r="E199" s="16">
        <v>0.47</v>
      </c>
      <c r="F199" s="16">
        <v>0.6</v>
      </c>
      <c r="G199" s="16">
        <v>0.4</v>
      </c>
      <c r="H199" s="16">
        <v>0.6</v>
      </c>
    </row>
    <row r="200">
      <c r="A200" s="16">
        <v>1.15</v>
      </c>
      <c r="B200" s="16">
        <v>0.54</v>
      </c>
      <c r="C200" s="16">
        <v>0.69</v>
      </c>
      <c r="D200" s="16">
        <v>0.15</v>
      </c>
      <c r="E200" s="16">
        <v>0.62</v>
      </c>
      <c r="F200" s="16">
        <v>0.38</v>
      </c>
      <c r="G200" s="16">
        <v>0.46</v>
      </c>
      <c r="H200" s="16">
        <v>1.15</v>
      </c>
    </row>
    <row r="201">
      <c r="A201" s="16">
        <v>0.6</v>
      </c>
      <c r="B201" s="16">
        <v>0.27</v>
      </c>
      <c r="C201" s="16">
        <v>1.47</v>
      </c>
      <c r="D201" s="16">
        <v>0.27</v>
      </c>
      <c r="E201" s="16">
        <v>0.53</v>
      </c>
      <c r="F201" s="16">
        <v>0.27</v>
      </c>
      <c r="G201" s="16">
        <v>0.4</v>
      </c>
      <c r="H201" s="16">
        <v>0.67</v>
      </c>
    </row>
    <row r="202">
      <c r="A202" s="16">
        <v>0.44</v>
      </c>
      <c r="B202" s="16">
        <v>0.44</v>
      </c>
      <c r="C202" s="16">
        <v>1.63</v>
      </c>
      <c r="D202" s="16">
        <v>0.13</v>
      </c>
      <c r="E202" s="16">
        <v>0.63</v>
      </c>
      <c r="F202" s="16">
        <v>0.31</v>
      </c>
      <c r="G202" s="16">
        <v>0.06</v>
      </c>
      <c r="H202" s="16">
        <v>0.69</v>
      </c>
    </row>
    <row r="203">
      <c r="A203" s="16">
        <v>0.27</v>
      </c>
      <c r="B203" s="16">
        <v>0.2</v>
      </c>
      <c r="C203" s="16">
        <v>0.87</v>
      </c>
      <c r="D203" s="16">
        <v>0.2</v>
      </c>
      <c r="E203" s="16">
        <v>0.73</v>
      </c>
      <c r="F203" s="16">
        <v>0.13</v>
      </c>
      <c r="G203" s="16">
        <v>0.33</v>
      </c>
      <c r="H203" s="16">
        <v>0.87</v>
      </c>
    </row>
    <row r="204">
      <c r="A204" s="16">
        <v>0.79</v>
      </c>
      <c r="B204" s="16">
        <v>0.43</v>
      </c>
      <c r="C204" s="16">
        <v>1.07</v>
      </c>
      <c r="D204" s="16">
        <v>0.21</v>
      </c>
      <c r="E204" s="16">
        <v>0.71</v>
      </c>
      <c r="F204" s="16">
        <v>0.07</v>
      </c>
      <c r="G204" s="16">
        <v>0.43</v>
      </c>
      <c r="H204" s="16">
        <v>0.71</v>
      </c>
    </row>
    <row r="205">
      <c r="A205" s="16">
        <v>0.29</v>
      </c>
      <c r="B205" s="16">
        <v>0.5</v>
      </c>
      <c r="C205" s="16">
        <v>1.43</v>
      </c>
      <c r="D205" s="16">
        <v>0.21</v>
      </c>
      <c r="E205" s="16">
        <v>0.79</v>
      </c>
      <c r="F205" s="16">
        <v>0.29</v>
      </c>
      <c r="G205" s="16">
        <v>0.36</v>
      </c>
      <c r="H205" s="16">
        <v>0.57</v>
      </c>
    </row>
    <row r="206">
      <c r="A206" s="16">
        <v>0.2</v>
      </c>
      <c r="B206" s="16">
        <v>0.47</v>
      </c>
      <c r="C206" s="16">
        <v>2.33</v>
      </c>
      <c r="D206" s="16">
        <v>0.33</v>
      </c>
      <c r="E206" s="16">
        <v>1.0</v>
      </c>
      <c r="F206" s="16">
        <v>0.4</v>
      </c>
      <c r="G206" s="16">
        <v>0.4</v>
      </c>
      <c r="H206" s="16">
        <v>0.87</v>
      </c>
    </row>
    <row r="207">
      <c r="A207" s="16">
        <v>0.43</v>
      </c>
      <c r="B207" s="16">
        <v>0.29</v>
      </c>
      <c r="C207" s="16">
        <v>1.0</v>
      </c>
      <c r="D207" s="16">
        <v>0.36</v>
      </c>
      <c r="E207" s="16">
        <v>1.0</v>
      </c>
      <c r="F207" s="16">
        <v>0.21</v>
      </c>
      <c r="G207" s="16">
        <v>0.29</v>
      </c>
      <c r="H207" s="16">
        <v>0.86</v>
      </c>
    </row>
    <row r="208">
      <c r="A208" s="16">
        <v>0.31</v>
      </c>
      <c r="B208" s="16">
        <v>0.56</v>
      </c>
      <c r="C208" s="16">
        <v>2.5</v>
      </c>
      <c r="D208" s="16">
        <v>0.44</v>
      </c>
      <c r="E208" s="16">
        <v>0.44</v>
      </c>
      <c r="F208" s="16">
        <v>0.63</v>
      </c>
      <c r="G208" s="16">
        <v>1.06</v>
      </c>
      <c r="H208" s="16">
        <v>0.81</v>
      </c>
    </row>
    <row r="209">
      <c r="A209" s="16">
        <v>0.33</v>
      </c>
      <c r="B209" s="16">
        <v>0.53</v>
      </c>
      <c r="C209" s="16">
        <v>2.0</v>
      </c>
      <c r="D209" s="16">
        <v>0.67</v>
      </c>
      <c r="E209" s="16">
        <v>1.0</v>
      </c>
      <c r="F209" s="16">
        <v>0.33</v>
      </c>
      <c r="G209" s="16">
        <v>0.53</v>
      </c>
      <c r="H209" s="16">
        <v>0.67</v>
      </c>
    </row>
    <row r="210">
      <c r="A210" s="16">
        <v>0.33</v>
      </c>
      <c r="B210" s="16">
        <v>0.6</v>
      </c>
      <c r="C210" s="16">
        <v>1.07</v>
      </c>
      <c r="D210" s="16">
        <v>0.27</v>
      </c>
      <c r="E210" s="16">
        <v>1.07</v>
      </c>
      <c r="F210" s="16">
        <v>0.33</v>
      </c>
      <c r="G210" s="16">
        <v>0.2</v>
      </c>
      <c r="H210" s="16">
        <v>0.87</v>
      </c>
    </row>
    <row r="211">
      <c r="A211" s="16">
        <v>0.5</v>
      </c>
      <c r="B211" s="16">
        <v>0.25</v>
      </c>
      <c r="C211" s="16">
        <v>0.94</v>
      </c>
      <c r="D211" s="16">
        <v>0.13</v>
      </c>
      <c r="E211" s="16">
        <v>0.94</v>
      </c>
      <c r="F211" s="16">
        <v>0.19</v>
      </c>
      <c r="G211" s="16">
        <v>0.25</v>
      </c>
      <c r="H211" s="16">
        <v>0.5</v>
      </c>
    </row>
    <row r="212">
      <c r="A212" s="16">
        <v>0.2</v>
      </c>
      <c r="B212" s="16">
        <v>0.73</v>
      </c>
      <c r="C212" s="16">
        <v>1.27</v>
      </c>
      <c r="D212" s="16">
        <v>0.33</v>
      </c>
      <c r="E212" s="16">
        <v>0.87</v>
      </c>
      <c r="F212" s="16">
        <v>0.33</v>
      </c>
      <c r="G212" s="16">
        <v>0.6</v>
      </c>
      <c r="H212" s="16">
        <v>1.13</v>
      </c>
    </row>
    <row r="213">
      <c r="A213" s="16">
        <v>0.47</v>
      </c>
      <c r="B213" s="16">
        <v>0.47</v>
      </c>
      <c r="C213" s="16">
        <v>1.33</v>
      </c>
      <c r="D213" s="16">
        <v>0.13</v>
      </c>
      <c r="E213" s="16">
        <v>1.47</v>
      </c>
      <c r="F213" s="16">
        <v>0.27</v>
      </c>
      <c r="G213" s="16">
        <v>0.47</v>
      </c>
      <c r="H213" s="16">
        <v>0.93</v>
      </c>
    </row>
    <row r="214">
      <c r="A214" s="16">
        <v>0.56</v>
      </c>
      <c r="B214" s="16">
        <v>0.63</v>
      </c>
      <c r="C214" s="16">
        <v>1.75</v>
      </c>
      <c r="D214" s="16">
        <v>0.06</v>
      </c>
      <c r="E214" s="16">
        <v>0.38</v>
      </c>
      <c r="F214" s="16">
        <v>0.31</v>
      </c>
      <c r="G214" s="16">
        <v>0.19</v>
      </c>
      <c r="H214" s="16">
        <v>0.5</v>
      </c>
    </row>
    <row r="215">
      <c r="A215" s="16">
        <v>0.29</v>
      </c>
      <c r="B215" s="16">
        <v>0.43</v>
      </c>
      <c r="C215" s="16">
        <v>1.57</v>
      </c>
      <c r="D215" s="16">
        <v>0.07</v>
      </c>
      <c r="E215" s="16">
        <v>1.64</v>
      </c>
      <c r="F215" s="16">
        <v>0.0</v>
      </c>
      <c r="G215" s="16">
        <v>0.21</v>
      </c>
      <c r="H215" s="16">
        <v>1.14</v>
      </c>
    </row>
    <row r="216">
      <c r="A216" s="16">
        <v>0.87</v>
      </c>
      <c r="B216" s="16">
        <v>0.33</v>
      </c>
      <c r="C216" s="16">
        <v>0.27</v>
      </c>
      <c r="D216" s="16">
        <v>0.33</v>
      </c>
      <c r="E216" s="16">
        <v>0.67</v>
      </c>
      <c r="F216" s="16">
        <v>0.13</v>
      </c>
      <c r="G216" s="16">
        <v>0.8</v>
      </c>
      <c r="H216" s="16">
        <v>0.53</v>
      </c>
    </row>
    <row r="217">
      <c r="A217" s="16">
        <v>0.19</v>
      </c>
      <c r="B217" s="16">
        <v>0.31</v>
      </c>
      <c r="C217" s="16">
        <v>1.63</v>
      </c>
      <c r="D217" s="16">
        <v>0.25</v>
      </c>
      <c r="E217" s="16">
        <v>0.75</v>
      </c>
      <c r="F217" s="16">
        <v>0.38</v>
      </c>
      <c r="G217" s="16">
        <v>0.81</v>
      </c>
      <c r="H217" s="16">
        <v>0.75</v>
      </c>
    </row>
    <row r="218">
      <c r="A218" s="16" t="s">
        <v>1076</v>
      </c>
      <c r="B218" s="16" t="s">
        <v>1076</v>
      </c>
      <c r="C218" s="16" t="s">
        <v>1076</v>
      </c>
      <c r="D218" s="16" t="s">
        <v>1076</v>
      </c>
      <c r="E218" s="16" t="s">
        <v>1076</v>
      </c>
      <c r="F218" s="16" t="s">
        <v>1076</v>
      </c>
      <c r="G218" s="16" t="s">
        <v>1076</v>
      </c>
      <c r="H218" s="16" t="s">
        <v>1076</v>
      </c>
    </row>
    <row r="219">
      <c r="A219" s="16">
        <v>0.86</v>
      </c>
      <c r="B219" s="16">
        <v>2.14</v>
      </c>
      <c r="C219" s="16">
        <v>1.14</v>
      </c>
      <c r="D219" s="16">
        <v>1.36</v>
      </c>
      <c r="E219" s="16">
        <v>2.14</v>
      </c>
      <c r="F219" s="16">
        <v>1.43</v>
      </c>
      <c r="G219" s="16">
        <v>1.07</v>
      </c>
      <c r="H219" s="16">
        <v>1.0</v>
      </c>
    </row>
    <row r="220">
      <c r="A220" s="16">
        <v>1.0</v>
      </c>
      <c r="B220" s="16">
        <v>3.5</v>
      </c>
      <c r="C220" s="16">
        <v>1.5</v>
      </c>
      <c r="D220" s="16">
        <v>1.36</v>
      </c>
      <c r="E220" s="16">
        <v>1.64</v>
      </c>
      <c r="F220" s="16">
        <v>0.93</v>
      </c>
      <c r="G220" s="16">
        <v>1.43</v>
      </c>
      <c r="H220" s="16">
        <v>1.86</v>
      </c>
    </row>
    <row r="221">
      <c r="A221" s="16">
        <v>1.13</v>
      </c>
      <c r="B221" s="16">
        <v>3.27</v>
      </c>
      <c r="C221" s="16">
        <v>1.0</v>
      </c>
      <c r="D221" s="16">
        <v>1.07</v>
      </c>
      <c r="E221" s="16">
        <v>1.33</v>
      </c>
      <c r="F221" s="16">
        <v>1.07</v>
      </c>
      <c r="G221" s="16">
        <v>1.27</v>
      </c>
      <c r="H221" s="16">
        <v>2.67</v>
      </c>
    </row>
    <row r="222">
      <c r="A222" s="16">
        <v>1.44</v>
      </c>
      <c r="B222" s="16">
        <v>2.88</v>
      </c>
      <c r="C222" s="16">
        <v>1.75</v>
      </c>
      <c r="D222" s="16">
        <v>1.31</v>
      </c>
      <c r="E222" s="16">
        <v>1.63</v>
      </c>
      <c r="F222" s="16">
        <v>1.06</v>
      </c>
      <c r="G222" s="16">
        <v>1.19</v>
      </c>
      <c r="H222" s="16">
        <v>1.81</v>
      </c>
    </row>
    <row r="223">
      <c r="A223" s="16">
        <v>0.63</v>
      </c>
      <c r="B223" s="16">
        <v>3.5</v>
      </c>
      <c r="C223" s="16">
        <v>1.0</v>
      </c>
      <c r="D223" s="16">
        <v>1.31</v>
      </c>
      <c r="E223" s="16">
        <v>1.25</v>
      </c>
      <c r="F223" s="16">
        <v>1.13</v>
      </c>
      <c r="G223" s="16">
        <v>0.88</v>
      </c>
      <c r="H223" s="16">
        <v>1.63</v>
      </c>
    </row>
    <row r="224">
      <c r="A224" s="16">
        <v>1.13</v>
      </c>
      <c r="B224" s="16">
        <v>3.13</v>
      </c>
      <c r="C224" s="16">
        <v>1.47</v>
      </c>
      <c r="D224" s="16">
        <v>1.47</v>
      </c>
      <c r="E224" s="16">
        <v>1.2</v>
      </c>
      <c r="F224" s="16">
        <v>0.6</v>
      </c>
      <c r="G224" s="16">
        <v>0.73</v>
      </c>
      <c r="H224" s="16">
        <v>1.67</v>
      </c>
    </row>
    <row r="225">
      <c r="A225" s="16">
        <v>1.06</v>
      </c>
      <c r="B225" s="16">
        <v>2.75</v>
      </c>
      <c r="C225" s="16">
        <v>1.88</v>
      </c>
      <c r="D225" s="16">
        <v>1.44</v>
      </c>
      <c r="E225" s="16">
        <v>1.75</v>
      </c>
      <c r="F225" s="16">
        <v>1.19</v>
      </c>
      <c r="G225" s="16">
        <v>1.31</v>
      </c>
      <c r="H225" s="16">
        <v>1.25</v>
      </c>
    </row>
    <row r="226">
      <c r="A226" s="16">
        <v>0.87</v>
      </c>
      <c r="B226" s="16">
        <v>3.8</v>
      </c>
      <c r="C226" s="16">
        <v>1.07</v>
      </c>
      <c r="D226" s="16">
        <v>1.53</v>
      </c>
      <c r="E226" s="16">
        <v>2.13</v>
      </c>
      <c r="F226" s="16">
        <v>1.4</v>
      </c>
      <c r="G226" s="16">
        <v>1.6</v>
      </c>
      <c r="H226" s="16">
        <v>1.73</v>
      </c>
    </row>
    <row r="227">
      <c r="A227" s="16">
        <v>0.93</v>
      </c>
      <c r="B227" s="16">
        <v>2.4</v>
      </c>
      <c r="C227" s="16">
        <v>2.0</v>
      </c>
      <c r="D227" s="16">
        <v>1.67</v>
      </c>
      <c r="E227" s="16">
        <v>0.93</v>
      </c>
      <c r="F227" s="16">
        <v>1.47</v>
      </c>
      <c r="G227" s="16">
        <v>0.8</v>
      </c>
      <c r="H227" s="16">
        <v>1.27</v>
      </c>
    </row>
    <row r="228">
      <c r="A228" s="16">
        <v>1.13</v>
      </c>
      <c r="B228" s="16">
        <v>2.8</v>
      </c>
      <c r="C228" s="16">
        <v>1.87</v>
      </c>
      <c r="D228" s="16">
        <v>1.47</v>
      </c>
      <c r="E228" s="16">
        <v>2.33</v>
      </c>
      <c r="F228" s="16">
        <v>0.67</v>
      </c>
      <c r="G228" s="16">
        <v>0.8</v>
      </c>
      <c r="H228" s="16">
        <v>2.93</v>
      </c>
    </row>
    <row r="229">
      <c r="A229" s="16">
        <v>1.0</v>
      </c>
      <c r="B229" s="16">
        <v>2.8</v>
      </c>
      <c r="C229" s="16">
        <v>1.2</v>
      </c>
      <c r="D229" s="16">
        <v>0.67</v>
      </c>
      <c r="E229" s="16">
        <v>2.73</v>
      </c>
      <c r="F229" s="16">
        <v>2.2</v>
      </c>
      <c r="G229" s="16">
        <v>1.6</v>
      </c>
      <c r="H229" s="16">
        <v>1.73</v>
      </c>
    </row>
    <row r="230">
      <c r="A230" s="16">
        <v>1.67</v>
      </c>
      <c r="B230" s="16">
        <v>3.2</v>
      </c>
      <c r="C230" s="16">
        <v>1.53</v>
      </c>
      <c r="D230" s="16">
        <v>1.27</v>
      </c>
      <c r="E230" s="16">
        <v>1.27</v>
      </c>
      <c r="F230" s="16">
        <v>1.6</v>
      </c>
      <c r="G230" s="16">
        <v>1.4</v>
      </c>
      <c r="H230" s="16">
        <v>1.8</v>
      </c>
    </row>
    <row r="231">
      <c r="A231" s="16">
        <v>0.54</v>
      </c>
      <c r="B231" s="16">
        <v>3.31</v>
      </c>
      <c r="C231" s="16">
        <v>0.77</v>
      </c>
      <c r="D231" s="16">
        <v>1.38</v>
      </c>
      <c r="E231" s="16">
        <v>1.85</v>
      </c>
      <c r="F231" s="16">
        <v>1.38</v>
      </c>
      <c r="G231" s="16">
        <v>0.77</v>
      </c>
      <c r="H231" s="16">
        <v>1.69</v>
      </c>
    </row>
    <row r="232">
      <c r="A232" s="16">
        <v>1.6</v>
      </c>
      <c r="B232" s="16">
        <v>2.87</v>
      </c>
      <c r="C232" s="16">
        <v>1.47</v>
      </c>
      <c r="D232" s="16">
        <v>1.87</v>
      </c>
      <c r="E232" s="16">
        <v>1.27</v>
      </c>
      <c r="F232" s="16">
        <v>1.47</v>
      </c>
      <c r="G232" s="16">
        <v>1.8</v>
      </c>
      <c r="H232" s="16">
        <v>2.47</v>
      </c>
    </row>
    <row r="233">
      <c r="A233" s="16">
        <v>1.75</v>
      </c>
      <c r="B233" s="16">
        <v>3.13</v>
      </c>
      <c r="C233" s="16">
        <v>1.31</v>
      </c>
      <c r="D233" s="16">
        <v>0.81</v>
      </c>
      <c r="E233" s="16">
        <v>2.0</v>
      </c>
      <c r="F233" s="16">
        <v>1.31</v>
      </c>
      <c r="G233" s="16">
        <v>1.19</v>
      </c>
      <c r="H233" s="16">
        <v>1.5</v>
      </c>
    </row>
    <row r="234">
      <c r="A234" s="16">
        <v>1.6</v>
      </c>
      <c r="B234" s="16">
        <v>3.6</v>
      </c>
      <c r="C234" s="16">
        <v>1.0</v>
      </c>
      <c r="D234" s="16">
        <v>1.33</v>
      </c>
      <c r="E234" s="16">
        <v>2.2</v>
      </c>
      <c r="F234" s="16">
        <v>1.47</v>
      </c>
      <c r="G234" s="16">
        <v>1.13</v>
      </c>
      <c r="H234" s="16">
        <v>1.87</v>
      </c>
    </row>
    <row r="235">
      <c r="A235" s="16">
        <v>1.43</v>
      </c>
      <c r="B235" s="16">
        <v>3.07</v>
      </c>
      <c r="C235" s="16">
        <v>1.0</v>
      </c>
      <c r="D235" s="16">
        <v>1.43</v>
      </c>
      <c r="E235" s="16">
        <v>1.21</v>
      </c>
      <c r="F235" s="16">
        <v>1.14</v>
      </c>
      <c r="G235" s="16">
        <v>1.36</v>
      </c>
      <c r="H235" s="16">
        <v>2.14</v>
      </c>
    </row>
    <row r="236">
      <c r="A236" s="16">
        <v>1.29</v>
      </c>
      <c r="B236" s="16">
        <v>2.5</v>
      </c>
      <c r="C236" s="16">
        <v>1.5</v>
      </c>
      <c r="D236" s="16">
        <v>1.86</v>
      </c>
      <c r="E236" s="16">
        <v>1.5</v>
      </c>
      <c r="F236" s="16">
        <v>1.29</v>
      </c>
      <c r="G236" s="16">
        <v>2.36</v>
      </c>
      <c r="H236" s="16">
        <v>2.36</v>
      </c>
    </row>
    <row r="237">
      <c r="A237" s="16">
        <v>0.6</v>
      </c>
      <c r="B237" s="16">
        <v>3.6</v>
      </c>
      <c r="C237" s="16">
        <v>1.4</v>
      </c>
      <c r="D237" s="16">
        <v>1.8</v>
      </c>
      <c r="E237" s="16">
        <v>2.67</v>
      </c>
      <c r="F237" s="16">
        <v>2.07</v>
      </c>
      <c r="G237" s="16">
        <v>0.73</v>
      </c>
      <c r="H237" s="16">
        <v>1.4</v>
      </c>
    </row>
    <row r="238">
      <c r="A238" s="16">
        <v>1.29</v>
      </c>
      <c r="B238" s="16">
        <v>2.14</v>
      </c>
      <c r="C238" s="16">
        <v>1.0</v>
      </c>
      <c r="D238" s="16">
        <v>1.07</v>
      </c>
      <c r="E238" s="16">
        <v>1.93</v>
      </c>
      <c r="F238" s="16">
        <v>1.07</v>
      </c>
      <c r="G238" s="16">
        <v>0.86</v>
      </c>
      <c r="H238" s="16">
        <v>2.43</v>
      </c>
    </row>
    <row r="239">
      <c r="A239" s="16">
        <v>0.75</v>
      </c>
      <c r="B239" s="16">
        <v>3.75</v>
      </c>
      <c r="C239" s="16">
        <v>1.63</v>
      </c>
      <c r="D239" s="16">
        <v>1.75</v>
      </c>
      <c r="E239" s="16">
        <v>1.13</v>
      </c>
      <c r="F239" s="16">
        <v>2.0</v>
      </c>
      <c r="G239" s="16">
        <v>1.75</v>
      </c>
      <c r="H239" s="16">
        <v>1.63</v>
      </c>
    </row>
    <row r="240">
      <c r="A240" s="16">
        <v>1.2</v>
      </c>
      <c r="B240" s="16">
        <v>3.33</v>
      </c>
      <c r="C240" s="16">
        <v>0.6</v>
      </c>
      <c r="D240" s="16">
        <v>1.67</v>
      </c>
      <c r="E240" s="16">
        <v>1.67</v>
      </c>
      <c r="F240" s="16">
        <v>1.4</v>
      </c>
      <c r="G240" s="16">
        <v>1.0</v>
      </c>
      <c r="H240" s="16">
        <v>1.33</v>
      </c>
    </row>
    <row r="241">
      <c r="A241" s="16">
        <v>1.8</v>
      </c>
      <c r="B241" s="16">
        <v>3.33</v>
      </c>
      <c r="C241" s="16">
        <v>1.67</v>
      </c>
      <c r="D241" s="16">
        <v>1.93</v>
      </c>
      <c r="E241" s="16">
        <v>1.33</v>
      </c>
      <c r="F241" s="16">
        <v>1.07</v>
      </c>
      <c r="G241" s="16">
        <v>0.87</v>
      </c>
      <c r="H241" s="16">
        <v>3.33</v>
      </c>
    </row>
    <row r="242">
      <c r="A242" s="16">
        <v>1.69</v>
      </c>
      <c r="B242" s="16">
        <v>3.63</v>
      </c>
      <c r="C242" s="16">
        <v>1.31</v>
      </c>
      <c r="D242" s="16">
        <v>0.81</v>
      </c>
      <c r="E242" s="16">
        <v>2.44</v>
      </c>
      <c r="F242" s="16">
        <v>0.94</v>
      </c>
      <c r="G242" s="16">
        <v>1.5</v>
      </c>
      <c r="H242" s="16">
        <v>1.88</v>
      </c>
    </row>
    <row r="243">
      <c r="A243" s="16">
        <v>0.67</v>
      </c>
      <c r="B243" s="16">
        <v>3.4</v>
      </c>
      <c r="C243" s="16">
        <v>1.13</v>
      </c>
      <c r="D243" s="16">
        <v>0.87</v>
      </c>
      <c r="E243" s="16">
        <v>1.33</v>
      </c>
      <c r="F243" s="16">
        <v>1.47</v>
      </c>
      <c r="G243" s="16">
        <v>0.67</v>
      </c>
      <c r="H243" s="16">
        <v>2.0</v>
      </c>
    </row>
    <row r="244">
      <c r="A244" s="16">
        <v>1.4</v>
      </c>
      <c r="B244" s="16">
        <v>4.27</v>
      </c>
      <c r="C244" s="16">
        <v>1.2</v>
      </c>
      <c r="D244" s="16">
        <v>1.2</v>
      </c>
      <c r="E244" s="16">
        <v>2.2</v>
      </c>
      <c r="F244" s="16">
        <v>2.0</v>
      </c>
      <c r="G244" s="16">
        <v>1.13</v>
      </c>
      <c r="H244" s="16">
        <v>2.07</v>
      </c>
    </row>
    <row r="245">
      <c r="A245" s="16">
        <v>1.06</v>
      </c>
      <c r="B245" s="16">
        <v>2.88</v>
      </c>
      <c r="C245" s="16">
        <v>2.19</v>
      </c>
      <c r="D245" s="16">
        <v>0.88</v>
      </c>
      <c r="E245" s="16">
        <v>0.69</v>
      </c>
      <c r="F245" s="16">
        <v>1.69</v>
      </c>
      <c r="G245" s="16">
        <v>1.81</v>
      </c>
      <c r="H245" s="16">
        <v>1.31</v>
      </c>
    </row>
    <row r="246">
      <c r="A246" s="16">
        <v>1.36</v>
      </c>
      <c r="B246" s="16">
        <v>2.86</v>
      </c>
      <c r="C246" s="16">
        <v>1.43</v>
      </c>
      <c r="D246" s="16">
        <v>1.86</v>
      </c>
      <c r="E246" s="16">
        <v>1.86</v>
      </c>
      <c r="F246" s="16">
        <v>1.36</v>
      </c>
      <c r="G246" s="16">
        <v>1.21</v>
      </c>
      <c r="H246" s="16">
        <v>2.29</v>
      </c>
    </row>
    <row r="247">
      <c r="A247" s="16">
        <v>0.67</v>
      </c>
      <c r="B247" s="16">
        <v>2.13</v>
      </c>
      <c r="C247" s="16">
        <v>1.33</v>
      </c>
      <c r="D247" s="16">
        <v>1.6</v>
      </c>
      <c r="E247" s="16">
        <v>2.33</v>
      </c>
      <c r="F247" s="16">
        <v>0.8</v>
      </c>
      <c r="G247" s="16">
        <v>0.93</v>
      </c>
      <c r="H247" s="16">
        <v>1.6</v>
      </c>
    </row>
    <row r="248">
      <c r="A248" s="16">
        <v>1.44</v>
      </c>
      <c r="B248" s="16">
        <v>3.13</v>
      </c>
      <c r="C248" s="16">
        <v>1.69</v>
      </c>
      <c r="D248" s="16">
        <v>0.94</v>
      </c>
      <c r="E248" s="16">
        <v>2.63</v>
      </c>
      <c r="F248" s="16">
        <v>1.75</v>
      </c>
      <c r="G248" s="16">
        <v>1.0</v>
      </c>
      <c r="H248" s="16">
        <v>2.88</v>
      </c>
    </row>
    <row r="249">
      <c r="A249" s="16" t="s">
        <v>1077</v>
      </c>
      <c r="B249" s="16" t="s">
        <v>1077</v>
      </c>
      <c r="C249" s="16" t="s">
        <v>1077</v>
      </c>
      <c r="D249" s="16" t="s">
        <v>1077</v>
      </c>
      <c r="E249" s="16" t="s">
        <v>1077</v>
      </c>
      <c r="F249" s="16" t="s">
        <v>1077</v>
      </c>
      <c r="G249" s="16" t="s">
        <v>1077</v>
      </c>
      <c r="H249" s="16" t="s">
        <v>1077</v>
      </c>
    </row>
    <row r="250">
      <c r="A250" s="16">
        <v>10.79</v>
      </c>
      <c r="B250" s="16">
        <v>23.36</v>
      </c>
      <c r="C250" s="16">
        <v>7.71</v>
      </c>
      <c r="D250" s="16">
        <v>10.64</v>
      </c>
      <c r="E250" s="16">
        <v>16.93</v>
      </c>
      <c r="F250" s="16">
        <v>11.93</v>
      </c>
      <c r="G250" s="16">
        <v>15.5</v>
      </c>
      <c r="H250" s="16">
        <v>16.0</v>
      </c>
    </row>
    <row r="251">
      <c r="A251" s="16">
        <v>10.14</v>
      </c>
      <c r="B251" s="16">
        <v>28.64</v>
      </c>
      <c r="C251" s="16">
        <v>10.36</v>
      </c>
      <c r="D251" s="16">
        <v>7.0</v>
      </c>
      <c r="E251" s="16">
        <v>11.86</v>
      </c>
      <c r="F251" s="16">
        <v>14.64</v>
      </c>
      <c r="G251" s="16">
        <v>14.36</v>
      </c>
      <c r="H251" s="16">
        <v>18.0</v>
      </c>
    </row>
    <row r="252">
      <c r="A252" s="16">
        <v>10.67</v>
      </c>
      <c r="B252" s="16">
        <v>26.0</v>
      </c>
      <c r="C252" s="16">
        <v>9.73</v>
      </c>
      <c r="D252" s="16">
        <v>9.47</v>
      </c>
      <c r="E252" s="16">
        <v>9.07</v>
      </c>
      <c r="F252" s="16">
        <v>13.27</v>
      </c>
      <c r="G252" s="16">
        <v>11.87</v>
      </c>
      <c r="H252" s="16">
        <v>25.07</v>
      </c>
    </row>
    <row r="253">
      <c r="A253" s="16">
        <v>8.75</v>
      </c>
      <c r="B253" s="16">
        <v>25.0</v>
      </c>
      <c r="C253" s="16">
        <v>12.13</v>
      </c>
      <c r="D253" s="16">
        <v>5.25</v>
      </c>
      <c r="E253" s="16">
        <v>12.44</v>
      </c>
      <c r="F253" s="16">
        <v>10.0</v>
      </c>
      <c r="G253" s="16">
        <v>14.38</v>
      </c>
      <c r="H253" s="16">
        <v>21.44</v>
      </c>
    </row>
    <row r="254">
      <c r="A254" s="16">
        <v>9.75</v>
      </c>
      <c r="B254" s="16">
        <v>26.75</v>
      </c>
      <c r="C254" s="16">
        <v>12.19</v>
      </c>
      <c r="D254" s="16">
        <v>6.25</v>
      </c>
      <c r="E254" s="16">
        <v>15.94</v>
      </c>
      <c r="F254" s="16">
        <v>11.94</v>
      </c>
      <c r="G254" s="16">
        <v>9.63</v>
      </c>
      <c r="H254" s="16">
        <v>12.75</v>
      </c>
    </row>
    <row r="255">
      <c r="A255" s="16">
        <v>14.8</v>
      </c>
      <c r="B255" s="16">
        <v>26.33</v>
      </c>
      <c r="C255" s="16">
        <v>13.47</v>
      </c>
      <c r="D255" s="16">
        <v>10.6</v>
      </c>
      <c r="E255" s="16">
        <v>6.27</v>
      </c>
      <c r="F255" s="16">
        <v>12.33</v>
      </c>
      <c r="G255" s="16">
        <v>13.33</v>
      </c>
      <c r="H255" s="16">
        <v>18.33</v>
      </c>
    </row>
    <row r="256">
      <c r="A256" s="16">
        <v>10.19</v>
      </c>
      <c r="B256" s="16">
        <v>29.69</v>
      </c>
      <c r="C256" s="16">
        <v>13.63</v>
      </c>
      <c r="D256" s="16">
        <v>9.13</v>
      </c>
      <c r="E256" s="16">
        <v>11.25</v>
      </c>
      <c r="F256" s="16">
        <v>7.5</v>
      </c>
      <c r="G256" s="16">
        <v>12.38</v>
      </c>
      <c r="H256" s="16">
        <v>15.25</v>
      </c>
    </row>
    <row r="257">
      <c r="A257" s="16">
        <v>10.4</v>
      </c>
      <c r="B257" s="16">
        <v>28.8</v>
      </c>
      <c r="C257" s="16">
        <v>8.67</v>
      </c>
      <c r="D257" s="16">
        <v>6.53</v>
      </c>
      <c r="E257" s="16">
        <v>15.27</v>
      </c>
      <c r="F257" s="16">
        <v>10.47</v>
      </c>
      <c r="G257" s="16">
        <v>16.13</v>
      </c>
      <c r="H257" s="16">
        <v>14.53</v>
      </c>
    </row>
    <row r="258">
      <c r="A258" s="16">
        <v>7.53</v>
      </c>
      <c r="B258" s="16">
        <v>26.27</v>
      </c>
      <c r="C258" s="16">
        <v>14.2</v>
      </c>
      <c r="D258" s="16">
        <v>11.73</v>
      </c>
      <c r="E258" s="16">
        <v>15.2</v>
      </c>
      <c r="F258" s="16">
        <v>12.73</v>
      </c>
      <c r="G258" s="16">
        <v>9.53</v>
      </c>
      <c r="H258" s="16">
        <v>11.47</v>
      </c>
    </row>
    <row r="259">
      <c r="A259" s="16">
        <v>11.07</v>
      </c>
      <c r="B259" s="16">
        <v>18.67</v>
      </c>
      <c r="C259" s="16">
        <v>9.73</v>
      </c>
      <c r="D259" s="16">
        <v>15.27</v>
      </c>
      <c r="E259" s="16">
        <v>11.67</v>
      </c>
      <c r="F259" s="16">
        <v>7.27</v>
      </c>
      <c r="G259" s="16">
        <v>6.93</v>
      </c>
      <c r="H259" s="16">
        <v>27.13</v>
      </c>
    </row>
    <row r="260">
      <c r="A260" s="16">
        <v>8.87</v>
      </c>
      <c r="B260" s="16">
        <v>26.0</v>
      </c>
      <c r="C260" s="16">
        <v>8.73</v>
      </c>
      <c r="D260" s="16">
        <v>7.6</v>
      </c>
      <c r="E260" s="16">
        <v>21.33</v>
      </c>
      <c r="F260" s="16">
        <v>17.13</v>
      </c>
      <c r="G260" s="16">
        <v>15.53</v>
      </c>
      <c r="H260" s="16">
        <v>17.73</v>
      </c>
    </row>
    <row r="261">
      <c r="A261" s="16">
        <v>12.27</v>
      </c>
      <c r="B261" s="16">
        <v>24.4</v>
      </c>
      <c r="C261" s="16">
        <v>18.4</v>
      </c>
      <c r="D261" s="16">
        <v>6.07</v>
      </c>
      <c r="E261" s="16">
        <v>8.4</v>
      </c>
      <c r="F261" s="16">
        <v>16.47</v>
      </c>
      <c r="G261" s="16">
        <v>10.13</v>
      </c>
      <c r="H261" s="16">
        <v>25.13</v>
      </c>
    </row>
    <row r="262">
      <c r="A262" s="16">
        <v>9.08</v>
      </c>
      <c r="B262" s="16">
        <v>19.38</v>
      </c>
      <c r="C262" s="16">
        <v>7.92</v>
      </c>
      <c r="D262" s="16">
        <v>11.23</v>
      </c>
      <c r="E262" s="16">
        <v>19.62</v>
      </c>
      <c r="F262" s="16">
        <v>13.0</v>
      </c>
      <c r="G262" s="16">
        <v>8.23</v>
      </c>
      <c r="H262" s="16">
        <v>18.0</v>
      </c>
    </row>
    <row r="263">
      <c r="A263" s="16">
        <v>10.87</v>
      </c>
      <c r="B263" s="16">
        <v>20.13</v>
      </c>
      <c r="C263" s="16">
        <v>15.0</v>
      </c>
      <c r="D263" s="16">
        <v>10.27</v>
      </c>
      <c r="E263" s="16">
        <v>11.4</v>
      </c>
      <c r="F263" s="16">
        <v>12.8</v>
      </c>
      <c r="G263" s="16">
        <v>11.4</v>
      </c>
      <c r="H263" s="16">
        <v>17.93</v>
      </c>
    </row>
    <row r="264">
      <c r="A264" s="16">
        <v>8.19</v>
      </c>
      <c r="B264" s="16">
        <v>23.69</v>
      </c>
      <c r="C264" s="16">
        <v>12.63</v>
      </c>
      <c r="D264" s="16">
        <v>3.75</v>
      </c>
      <c r="E264" s="16">
        <v>19.69</v>
      </c>
      <c r="F264" s="16">
        <v>16.13</v>
      </c>
      <c r="G264" s="16">
        <v>11.75</v>
      </c>
      <c r="H264" s="16">
        <v>18.63</v>
      </c>
    </row>
    <row r="265">
      <c r="A265" s="16">
        <v>9.33</v>
      </c>
      <c r="B265" s="16">
        <v>23.13</v>
      </c>
      <c r="C265" s="16">
        <v>6.93</v>
      </c>
      <c r="D265" s="16">
        <v>8.27</v>
      </c>
      <c r="E265" s="16">
        <v>18.8</v>
      </c>
      <c r="F265" s="16">
        <v>12.6</v>
      </c>
      <c r="G265" s="16">
        <v>12.27</v>
      </c>
      <c r="H265" s="16">
        <v>18.93</v>
      </c>
    </row>
    <row r="266">
      <c r="A266" s="16">
        <v>13.71</v>
      </c>
      <c r="B266" s="16">
        <v>20.14</v>
      </c>
      <c r="C266" s="16">
        <v>10.14</v>
      </c>
      <c r="D266" s="16">
        <v>9.5</v>
      </c>
      <c r="E266" s="16">
        <v>13.07</v>
      </c>
      <c r="F266" s="16">
        <v>14.64</v>
      </c>
      <c r="G266" s="16">
        <v>15.14</v>
      </c>
      <c r="H266" s="16">
        <v>20.5</v>
      </c>
    </row>
    <row r="267">
      <c r="A267" s="16">
        <v>10.93</v>
      </c>
      <c r="B267" s="16">
        <v>23.71</v>
      </c>
      <c r="C267" s="16">
        <v>12.36</v>
      </c>
      <c r="D267" s="16">
        <v>11.57</v>
      </c>
      <c r="E267" s="16">
        <v>12.21</v>
      </c>
      <c r="F267" s="16">
        <v>13.14</v>
      </c>
      <c r="G267" s="16">
        <v>18.21</v>
      </c>
      <c r="H267" s="16">
        <v>16.21</v>
      </c>
    </row>
    <row r="268">
      <c r="A268" s="16">
        <v>8.27</v>
      </c>
      <c r="B268" s="16">
        <v>33.33</v>
      </c>
      <c r="C268" s="16">
        <v>10.2</v>
      </c>
      <c r="D268" s="16">
        <v>10.13</v>
      </c>
      <c r="E268" s="16">
        <v>17.67</v>
      </c>
      <c r="F268" s="16">
        <v>13.13</v>
      </c>
      <c r="G268" s="16">
        <v>8.67</v>
      </c>
      <c r="H268" s="16">
        <v>12.07</v>
      </c>
    </row>
    <row r="269">
      <c r="A269" s="16">
        <v>13.64</v>
      </c>
      <c r="B269" s="16">
        <v>17.43</v>
      </c>
      <c r="C269" s="16">
        <v>10.36</v>
      </c>
      <c r="D269" s="16">
        <v>9.93</v>
      </c>
      <c r="E269" s="16">
        <v>14.29</v>
      </c>
      <c r="F269" s="16">
        <v>12.0</v>
      </c>
      <c r="G269" s="16">
        <v>8.29</v>
      </c>
      <c r="H269" s="16">
        <v>21.5</v>
      </c>
    </row>
    <row r="270">
      <c r="A270" s="16">
        <v>8.06</v>
      </c>
      <c r="B270" s="16">
        <v>33.44</v>
      </c>
      <c r="C270" s="16">
        <v>15.88</v>
      </c>
      <c r="D270" s="16">
        <v>7.88</v>
      </c>
      <c r="E270" s="16">
        <v>6.0</v>
      </c>
      <c r="F270" s="16">
        <v>20.19</v>
      </c>
      <c r="G270" s="16">
        <v>19.5</v>
      </c>
      <c r="H270" s="16">
        <v>10.81</v>
      </c>
    </row>
    <row r="271">
      <c r="A271" s="16">
        <v>10.0</v>
      </c>
      <c r="B271" s="16">
        <v>26.6</v>
      </c>
      <c r="C271" s="16">
        <v>13.2</v>
      </c>
      <c r="D271" s="16">
        <v>9.13</v>
      </c>
      <c r="E271" s="16">
        <v>14.8</v>
      </c>
      <c r="F271" s="16">
        <v>14.6</v>
      </c>
      <c r="G271" s="16">
        <v>13.27</v>
      </c>
      <c r="H271" s="16">
        <v>14.8</v>
      </c>
    </row>
    <row r="272">
      <c r="A272" s="16">
        <v>11.27</v>
      </c>
      <c r="B272" s="16">
        <v>22.93</v>
      </c>
      <c r="C272" s="16">
        <v>11.27</v>
      </c>
      <c r="D272" s="16">
        <v>11.27</v>
      </c>
      <c r="E272" s="16">
        <v>12.6</v>
      </c>
      <c r="F272" s="16">
        <v>9.07</v>
      </c>
      <c r="G272" s="16">
        <v>8.2</v>
      </c>
      <c r="H272" s="16">
        <v>20.2</v>
      </c>
    </row>
    <row r="273">
      <c r="A273" s="16">
        <v>12.94</v>
      </c>
      <c r="B273" s="16">
        <v>25.44</v>
      </c>
      <c r="C273" s="16">
        <v>10.63</v>
      </c>
      <c r="D273" s="16">
        <v>6.81</v>
      </c>
      <c r="E273" s="16">
        <v>17.81</v>
      </c>
      <c r="F273" s="16">
        <v>10.25</v>
      </c>
      <c r="G273" s="16">
        <v>12.19</v>
      </c>
      <c r="H273" s="16">
        <v>17.06</v>
      </c>
    </row>
    <row r="274">
      <c r="A274" s="16">
        <v>8.2</v>
      </c>
      <c r="B274" s="16">
        <v>25.47</v>
      </c>
      <c r="C274" s="16">
        <v>9.8</v>
      </c>
      <c r="D274" s="16">
        <v>4.8</v>
      </c>
      <c r="E274" s="16">
        <v>16.73</v>
      </c>
      <c r="F274" s="16">
        <v>16.8</v>
      </c>
      <c r="G274" s="16">
        <v>10.6</v>
      </c>
      <c r="H274" s="16">
        <v>19.53</v>
      </c>
    </row>
    <row r="275">
      <c r="A275" s="16">
        <v>10.07</v>
      </c>
      <c r="B275" s="16">
        <v>23.53</v>
      </c>
      <c r="C275" s="16">
        <v>10.87</v>
      </c>
      <c r="D275" s="16">
        <v>8.67</v>
      </c>
      <c r="E275" s="16">
        <v>14.33</v>
      </c>
      <c r="F275" s="16">
        <v>18.87</v>
      </c>
      <c r="G275" s="16">
        <v>10.8</v>
      </c>
      <c r="H275" s="16">
        <v>17.07</v>
      </c>
    </row>
    <row r="276">
      <c r="A276" s="16">
        <v>9.88</v>
      </c>
      <c r="B276" s="16">
        <v>20.63</v>
      </c>
      <c r="C276" s="16">
        <v>15.88</v>
      </c>
      <c r="D276" s="16">
        <v>7.56</v>
      </c>
      <c r="E276" s="16">
        <v>6.5</v>
      </c>
      <c r="F276" s="16">
        <v>19.31</v>
      </c>
      <c r="G276" s="16">
        <v>17.69</v>
      </c>
      <c r="H276" s="16">
        <v>14.13</v>
      </c>
    </row>
    <row r="277">
      <c r="A277" s="16">
        <v>13.86</v>
      </c>
      <c r="B277" s="16">
        <v>20.57</v>
      </c>
      <c r="C277" s="16">
        <v>11.93</v>
      </c>
      <c r="D277" s="16">
        <v>8.43</v>
      </c>
      <c r="E277" s="16">
        <v>15.79</v>
      </c>
      <c r="F277" s="16">
        <v>10.86</v>
      </c>
      <c r="G277" s="16">
        <v>13.21</v>
      </c>
      <c r="H277" s="16">
        <v>16.0</v>
      </c>
    </row>
    <row r="278">
      <c r="A278" s="16">
        <v>9.6</v>
      </c>
      <c r="B278" s="16">
        <v>19.4</v>
      </c>
      <c r="C278" s="16">
        <v>10.93</v>
      </c>
      <c r="D278" s="16">
        <v>9.53</v>
      </c>
      <c r="E278" s="16">
        <v>16.13</v>
      </c>
      <c r="F278" s="16">
        <v>14.2</v>
      </c>
      <c r="G278" s="16">
        <v>12.4</v>
      </c>
      <c r="H278" s="16">
        <v>15.0</v>
      </c>
    </row>
    <row r="279">
      <c r="A279" s="16">
        <v>9.25</v>
      </c>
      <c r="B279" s="16">
        <v>27.19</v>
      </c>
      <c r="C279" s="16">
        <v>12.63</v>
      </c>
      <c r="D279" s="16">
        <v>8.19</v>
      </c>
      <c r="E279" s="16">
        <v>14.69</v>
      </c>
      <c r="F279" s="16">
        <v>14.25</v>
      </c>
      <c r="G279" s="16">
        <v>14.75</v>
      </c>
      <c r="H279" s="16">
        <v>17.5</v>
      </c>
    </row>
    <row r="280">
      <c r="A280" s="16" t="s">
        <v>1078</v>
      </c>
      <c r="B280" s="16" t="s">
        <v>1078</v>
      </c>
      <c r="C280" s="16" t="s">
        <v>1078</v>
      </c>
      <c r="D280" s="16" t="s">
        <v>1078</v>
      </c>
      <c r="E280" s="16" t="s">
        <v>1078</v>
      </c>
      <c r="F280" s="16" t="s">
        <v>1078</v>
      </c>
      <c r="G280" s="16" t="s">
        <v>1078</v>
      </c>
      <c r="H280" s="16" t="s">
        <v>1078</v>
      </c>
    </row>
    <row r="281">
      <c r="A281" s="16">
        <v>9.36</v>
      </c>
      <c r="B281" s="16">
        <v>21.54</v>
      </c>
      <c r="C281" s="16">
        <v>5.61</v>
      </c>
      <c r="D281" s="16">
        <v>9.43</v>
      </c>
      <c r="E281" s="16">
        <v>13.75</v>
      </c>
      <c r="F281" s="16">
        <v>11.86</v>
      </c>
      <c r="G281" s="16">
        <v>15.61</v>
      </c>
      <c r="H281" s="16">
        <v>13.68</v>
      </c>
    </row>
    <row r="282">
      <c r="A282" s="16">
        <v>9.89</v>
      </c>
      <c r="B282" s="16">
        <v>28.21</v>
      </c>
      <c r="C282" s="16">
        <v>7.5</v>
      </c>
      <c r="D282" s="16">
        <v>7.36</v>
      </c>
      <c r="E282" s="16">
        <v>9.43</v>
      </c>
      <c r="F282" s="16">
        <v>12.43</v>
      </c>
      <c r="G282" s="16">
        <v>13.32</v>
      </c>
      <c r="H282" s="16">
        <v>15.86</v>
      </c>
    </row>
    <row r="283">
      <c r="A283" s="16">
        <v>8.03</v>
      </c>
      <c r="B283" s="16">
        <v>26.17</v>
      </c>
      <c r="C283" s="16">
        <v>5.43</v>
      </c>
      <c r="D283" s="16">
        <v>9.13</v>
      </c>
      <c r="E283" s="16">
        <v>9.27</v>
      </c>
      <c r="F283" s="16">
        <v>12.27</v>
      </c>
      <c r="G283" s="16">
        <v>11.43</v>
      </c>
      <c r="H283" s="16">
        <v>22.43</v>
      </c>
    </row>
    <row r="284">
      <c r="A284" s="16">
        <v>8.41</v>
      </c>
      <c r="B284" s="16">
        <v>24.75</v>
      </c>
      <c r="C284" s="16">
        <v>7.81</v>
      </c>
      <c r="D284" s="16">
        <v>6.94</v>
      </c>
      <c r="E284" s="16">
        <v>10.94</v>
      </c>
      <c r="F284" s="16">
        <v>9.72</v>
      </c>
      <c r="G284" s="16">
        <v>13.06</v>
      </c>
      <c r="H284" s="16">
        <v>17.34</v>
      </c>
    </row>
    <row r="285">
      <c r="A285" s="16">
        <v>8.59</v>
      </c>
      <c r="B285" s="16">
        <v>25.69</v>
      </c>
      <c r="C285" s="16">
        <v>7.47</v>
      </c>
      <c r="D285" s="16">
        <v>7.91</v>
      </c>
      <c r="E285" s="16">
        <v>12.94</v>
      </c>
      <c r="F285" s="16">
        <v>11.22</v>
      </c>
      <c r="G285" s="16">
        <v>9.34</v>
      </c>
      <c r="H285" s="16">
        <v>13.84</v>
      </c>
    </row>
    <row r="286">
      <c r="A286" s="16">
        <v>12.77</v>
      </c>
      <c r="B286" s="16">
        <v>26.0</v>
      </c>
      <c r="C286" s="16">
        <v>7.97</v>
      </c>
      <c r="D286" s="16">
        <v>9.5</v>
      </c>
      <c r="E286" s="16">
        <v>6.3</v>
      </c>
      <c r="F286" s="16">
        <v>11.37</v>
      </c>
      <c r="G286" s="16">
        <v>9.83</v>
      </c>
      <c r="H286" s="16">
        <v>15.33</v>
      </c>
    </row>
    <row r="287">
      <c r="A287" s="16">
        <v>10.28</v>
      </c>
      <c r="B287" s="16">
        <v>26.78</v>
      </c>
      <c r="C287" s="16">
        <v>8.88</v>
      </c>
      <c r="D287" s="16">
        <v>9.47</v>
      </c>
      <c r="E287" s="16">
        <v>12.16</v>
      </c>
      <c r="F287" s="16">
        <v>8.09</v>
      </c>
      <c r="G287" s="16">
        <v>11.25</v>
      </c>
      <c r="H287" s="16">
        <v>12.88</v>
      </c>
    </row>
    <row r="288">
      <c r="A288" s="16">
        <v>10.1</v>
      </c>
      <c r="B288" s="16">
        <v>26.63</v>
      </c>
      <c r="C288" s="16">
        <v>6.33</v>
      </c>
      <c r="D288" s="16">
        <v>7.7</v>
      </c>
      <c r="E288" s="16">
        <v>13.8</v>
      </c>
      <c r="F288" s="16">
        <v>10.37</v>
      </c>
      <c r="G288" s="16">
        <v>14.07</v>
      </c>
      <c r="H288" s="16">
        <v>13.37</v>
      </c>
    </row>
    <row r="289">
      <c r="A289" s="16">
        <v>7.93</v>
      </c>
      <c r="B289" s="16">
        <v>25.8</v>
      </c>
      <c r="C289" s="16">
        <v>9.5</v>
      </c>
      <c r="D289" s="16">
        <v>11.8</v>
      </c>
      <c r="E289" s="16">
        <v>12.43</v>
      </c>
      <c r="F289" s="16">
        <v>13.27</v>
      </c>
      <c r="G289" s="16">
        <v>8.8</v>
      </c>
      <c r="H289" s="16">
        <v>11.57</v>
      </c>
    </row>
    <row r="290">
      <c r="A290" s="16">
        <v>10.97</v>
      </c>
      <c r="B290" s="16">
        <v>20.03</v>
      </c>
      <c r="C290" s="16">
        <v>7.37</v>
      </c>
      <c r="D290" s="16">
        <v>15.17</v>
      </c>
      <c r="E290" s="16">
        <v>13.2</v>
      </c>
      <c r="F290" s="16">
        <v>7.77</v>
      </c>
      <c r="G290" s="16">
        <v>6.17</v>
      </c>
      <c r="H290" s="16">
        <v>24.33</v>
      </c>
    </row>
    <row r="291">
      <c r="A291" s="16">
        <v>7.23</v>
      </c>
      <c r="B291" s="16">
        <v>23.3</v>
      </c>
      <c r="C291" s="16">
        <v>6.73</v>
      </c>
      <c r="D291" s="16">
        <v>6.83</v>
      </c>
      <c r="E291" s="16">
        <v>15.93</v>
      </c>
      <c r="F291" s="16">
        <v>17.03</v>
      </c>
      <c r="G291" s="16">
        <v>13.6</v>
      </c>
      <c r="H291" s="16">
        <v>14.93</v>
      </c>
    </row>
    <row r="292">
      <c r="A292" s="16">
        <v>12.0</v>
      </c>
      <c r="B292" s="16">
        <v>23.77</v>
      </c>
      <c r="C292" s="16">
        <v>11.57</v>
      </c>
      <c r="D292" s="16">
        <v>7.63</v>
      </c>
      <c r="E292" s="16">
        <v>7.07</v>
      </c>
      <c r="F292" s="16">
        <v>15.2</v>
      </c>
      <c r="G292" s="16">
        <v>9.67</v>
      </c>
      <c r="H292" s="16">
        <v>23.27</v>
      </c>
    </row>
    <row r="293">
      <c r="A293" s="16">
        <v>7.65</v>
      </c>
      <c r="B293" s="16">
        <v>20.27</v>
      </c>
      <c r="C293" s="16">
        <v>4.23</v>
      </c>
      <c r="D293" s="16">
        <v>11.15</v>
      </c>
      <c r="E293" s="16">
        <v>17.58</v>
      </c>
      <c r="F293" s="16">
        <v>13.12</v>
      </c>
      <c r="G293" s="16">
        <v>8.81</v>
      </c>
      <c r="H293" s="16">
        <v>16.88</v>
      </c>
    </row>
    <row r="294">
      <c r="A294" s="16">
        <v>11.07</v>
      </c>
      <c r="B294" s="16">
        <v>19.23</v>
      </c>
      <c r="C294" s="16">
        <v>9.73</v>
      </c>
      <c r="D294" s="16">
        <v>10.23</v>
      </c>
      <c r="E294" s="16">
        <v>10.17</v>
      </c>
      <c r="F294" s="16">
        <v>12.5</v>
      </c>
      <c r="G294" s="16">
        <v>12.5</v>
      </c>
      <c r="H294" s="16">
        <v>15.9</v>
      </c>
    </row>
    <row r="295">
      <c r="A295" s="16">
        <v>9.69</v>
      </c>
      <c r="B295" s="16">
        <v>23.5</v>
      </c>
      <c r="C295" s="16">
        <v>9.88</v>
      </c>
      <c r="D295" s="16">
        <v>4.81</v>
      </c>
      <c r="E295" s="16">
        <v>17.38</v>
      </c>
      <c r="F295" s="16">
        <v>13.25</v>
      </c>
      <c r="G295" s="16">
        <v>11.28</v>
      </c>
      <c r="H295" s="16">
        <v>15.66</v>
      </c>
    </row>
    <row r="296">
      <c r="A296" s="16">
        <v>8.8</v>
      </c>
      <c r="B296" s="16">
        <v>23.87</v>
      </c>
      <c r="C296" s="16">
        <v>4.17</v>
      </c>
      <c r="D296" s="16">
        <v>8.33</v>
      </c>
      <c r="E296" s="16">
        <v>14.47</v>
      </c>
      <c r="F296" s="16">
        <v>12.43</v>
      </c>
      <c r="G296" s="16">
        <v>10.27</v>
      </c>
      <c r="H296" s="16">
        <v>15.7</v>
      </c>
    </row>
    <row r="297">
      <c r="A297" s="16">
        <v>12.75</v>
      </c>
      <c r="B297" s="16">
        <v>22.82</v>
      </c>
      <c r="C297" s="16">
        <v>5.89</v>
      </c>
      <c r="D297" s="16">
        <v>9.71</v>
      </c>
      <c r="E297" s="16">
        <v>11.93</v>
      </c>
      <c r="F297" s="16">
        <v>13.0</v>
      </c>
      <c r="G297" s="16">
        <v>12.39</v>
      </c>
      <c r="H297" s="16">
        <v>18.25</v>
      </c>
    </row>
    <row r="298">
      <c r="A298" s="16">
        <v>9.75</v>
      </c>
      <c r="B298" s="16">
        <v>23.57</v>
      </c>
      <c r="C298" s="16">
        <v>7.89</v>
      </c>
      <c r="D298" s="16">
        <v>11.46</v>
      </c>
      <c r="E298" s="16">
        <v>10.5</v>
      </c>
      <c r="F298" s="16">
        <v>13.0</v>
      </c>
      <c r="G298" s="16">
        <v>16.39</v>
      </c>
      <c r="H298" s="16">
        <v>13.61</v>
      </c>
    </row>
    <row r="299">
      <c r="A299" s="16">
        <v>7.37</v>
      </c>
      <c r="B299" s="16">
        <v>32.0</v>
      </c>
      <c r="C299" s="16">
        <v>6.7</v>
      </c>
      <c r="D299" s="16">
        <v>9.5</v>
      </c>
      <c r="E299" s="16">
        <v>16.73</v>
      </c>
      <c r="F299" s="16">
        <v>13.93</v>
      </c>
      <c r="G299" s="16">
        <v>8.2</v>
      </c>
      <c r="H299" s="16">
        <v>13.7</v>
      </c>
    </row>
    <row r="300">
      <c r="A300" s="16">
        <v>12.29</v>
      </c>
      <c r="B300" s="16">
        <v>18.75</v>
      </c>
      <c r="C300" s="16">
        <v>5.32</v>
      </c>
      <c r="D300" s="16">
        <v>9.18</v>
      </c>
      <c r="E300" s="16">
        <v>13.0</v>
      </c>
      <c r="F300" s="16">
        <v>12.43</v>
      </c>
      <c r="G300" s="16">
        <v>8.57</v>
      </c>
      <c r="H300" s="16">
        <v>21.36</v>
      </c>
    </row>
    <row r="301">
      <c r="A301" s="16">
        <v>6.63</v>
      </c>
      <c r="B301" s="16">
        <v>29.88</v>
      </c>
      <c r="C301" s="16">
        <v>9.72</v>
      </c>
      <c r="D301" s="16">
        <v>8.38</v>
      </c>
      <c r="E301" s="16">
        <v>5.19</v>
      </c>
      <c r="F301" s="16">
        <v>18.75</v>
      </c>
      <c r="G301" s="16">
        <v>17.38</v>
      </c>
      <c r="H301" s="16">
        <v>10.63</v>
      </c>
    </row>
    <row r="302">
      <c r="A302" s="16">
        <v>8.8</v>
      </c>
      <c r="B302" s="16">
        <v>27.33</v>
      </c>
      <c r="C302" s="16">
        <v>7.47</v>
      </c>
      <c r="D302" s="16">
        <v>10.27</v>
      </c>
      <c r="E302" s="16">
        <v>11.87</v>
      </c>
      <c r="F302" s="16">
        <v>13.6</v>
      </c>
      <c r="G302" s="16">
        <v>10.47</v>
      </c>
      <c r="H302" s="16">
        <v>12.2</v>
      </c>
    </row>
    <row r="303">
      <c r="A303" s="16">
        <v>11.07</v>
      </c>
      <c r="B303" s="16">
        <v>22.9</v>
      </c>
      <c r="C303" s="16">
        <v>8.57</v>
      </c>
      <c r="D303" s="16">
        <v>10.93</v>
      </c>
      <c r="E303" s="16">
        <v>9.83</v>
      </c>
      <c r="F303" s="16">
        <v>9.87</v>
      </c>
      <c r="G303" s="16">
        <v>8.07</v>
      </c>
      <c r="H303" s="16">
        <v>19.87</v>
      </c>
    </row>
    <row r="304">
      <c r="A304" s="16">
        <v>12.59</v>
      </c>
      <c r="B304" s="16">
        <v>25.28</v>
      </c>
      <c r="C304" s="16">
        <v>5.53</v>
      </c>
      <c r="D304" s="16">
        <v>6.38</v>
      </c>
      <c r="E304" s="16">
        <v>14.84</v>
      </c>
      <c r="F304" s="16">
        <v>10.69</v>
      </c>
      <c r="G304" s="16">
        <v>10.0</v>
      </c>
      <c r="H304" s="16">
        <v>15.09</v>
      </c>
    </row>
    <row r="305">
      <c r="A305" s="16">
        <v>7.23</v>
      </c>
      <c r="B305" s="16">
        <v>27.7</v>
      </c>
      <c r="C305" s="16">
        <v>8.13</v>
      </c>
      <c r="D305" s="16">
        <v>4.7</v>
      </c>
      <c r="E305" s="16">
        <v>12.77</v>
      </c>
      <c r="F305" s="16">
        <v>16.43</v>
      </c>
      <c r="G305" s="16">
        <v>8.9</v>
      </c>
      <c r="H305" s="16">
        <v>16.53</v>
      </c>
    </row>
    <row r="306">
      <c r="A306" s="16">
        <v>8.77</v>
      </c>
      <c r="B306" s="16">
        <v>22.57</v>
      </c>
      <c r="C306" s="16">
        <v>6.17</v>
      </c>
      <c r="D306" s="16">
        <v>8.97</v>
      </c>
      <c r="E306" s="16">
        <v>12.57</v>
      </c>
      <c r="F306" s="16">
        <v>18.1</v>
      </c>
      <c r="G306" s="16">
        <v>10.87</v>
      </c>
      <c r="H306" s="16">
        <v>14.57</v>
      </c>
    </row>
    <row r="307">
      <c r="A307" s="16">
        <v>8.59</v>
      </c>
      <c r="B307" s="16">
        <v>20.63</v>
      </c>
      <c r="C307" s="16">
        <v>11.03</v>
      </c>
      <c r="D307" s="16">
        <v>7.94</v>
      </c>
      <c r="E307" s="16">
        <v>5.28</v>
      </c>
      <c r="F307" s="16">
        <v>19.28</v>
      </c>
      <c r="G307" s="16">
        <v>16.56</v>
      </c>
      <c r="H307" s="16">
        <v>13.47</v>
      </c>
    </row>
    <row r="308">
      <c r="A308" s="16">
        <v>13.0</v>
      </c>
      <c r="B308" s="16">
        <v>21.04</v>
      </c>
      <c r="C308" s="16">
        <v>7.5</v>
      </c>
      <c r="D308" s="16">
        <v>8.46</v>
      </c>
      <c r="E308" s="16">
        <v>13.64</v>
      </c>
      <c r="F308" s="16">
        <v>10.75</v>
      </c>
      <c r="G308" s="16">
        <v>11.93</v>
      </c>
      <c r="H308" s="16">
        <v>14.89</v>
      </c>
    </row>
    <row r="309">
      <c r="A309" s="16">
        <v>8.97</v>
      </c>
      <c r="B309" s="16">
        <v>19.27</v>
      </c>
      <c r="C309" s="16">
        <v>9.5</v>
      </c>
      <c r="D309" s="16">
        <v>10.63</v>
      </c>
      <c r="E309" s="16">
        <v>14.0</v>
      </c>
      <c r="F309" s="16">
        <v>13.97</v>
      </c>
      <c r="G309" s="16">
        <v>12.2</v>
      </c>
      <c r="H309" s="16">
        <v>13.9</v>
      </c>
    </row>
    <row r="310">
      <c r="A310" s="16">
        <v>8.88</v>
      </c>
      <c r="B310" s="16">
        <v>26.81</v>
      </c>
      <c r="C310" s="16">
        <v>8.44</v>
      </c>
      <c r="D310" s="16">
        <v>8.53</v>
      </c>
      <c r="E310" s="16">
        <v>14.31</v>
      </c>
      <c r="F310" s="16">
        <v>14.81</v>
      </c>
      <c r="G310" s="16">
        <v>12.25</v>
      </c>
      <c r="H310" s="16">
        <v>16.63</v>
      </c>
    </row>
    <row r="311">
      <c r="A311" s="16" t="s">
        <v>1079</v>
      </c>
      <c r="B311" s="16" t="s">
        <v>1079</v>
      </c>
      <c r="C311" s="16" t="s">
        <v>1079</v>
      </c>
      <c r="D311" s="16" t="s">
        <v>1079</v>
      </c>
      <c r="E311" s="16" t="s">
        <v>1079</v>
      </c>
      <c r="F311" s="16" t="s">
        <v>1079</v>
      </c>
      <c r="G311" s="16" t="s">
        <v>1079</v>
      </c>
      <c r="H311" s="16" t="s">
        <v>1079</v>
      </c>
    </row>
    <row r="312">
      <c r="A312" s="64">
        <v>0.14</v>
      </c>
      <c r="B312" s="64">
        <v>0.2198</v>
      </c>
      <c r="C312" s="64">
        <v>0.1344</v>
      </c>
      <c r="D312" s="64">
        <v>0.1964</v>
      </c>
      <c r="E312" s="64">
        <v>0.2107</v>
      </c>
      <c r="F312" s="64">
        <v>0.2628</v>
      </c>
      <c r="G312" s="64">
        <v>0.1747</v>
      </c>
      <c r="H312" s="64">
        <v>0.201</v>
      </c>
    </row>
    <row r="313">
      <c r="A313" s="64">
        <v>0.1494</v>
      </c>
      <c r="B313" s="64">
        <v>0.2544</v>
      </c>
      <c r="C313" s="64">
        <v>0.1514</v>
      </c>
      <c r="D313" s="64">
        <v>0.1997</v>
      </c>
      <c r="E313" s="64">
        <v>0.2227</v>
      </c>
      <c r="F313" s="64">
        <v>0.2368</v>
      </c>
      <c r="G313" s="64">
        <v>0.1618</v>
      </c>
      <c r="H313" s="64">
        <v>0.1992</v>
      </c>
    </row>
    <row r="314">
      <c r="A314" s="64">
        <v>0.142</v>
      </c>
      <c r="B314" s="64">
        <v>0.2313</v>
      </c>
      <c r="C314" s="64">
        <v>0.1482</v>
      </c>
      <c r="D314" s="64">
        <v>0.1995</v>
      </c>
      <c r="E314" s="64">
        <v>0.2343</v>
      </c>
      <c r="F314" s="64">
        <v>0.2572</v>
      </c>
      <c r="G314" s="64">
        <v>0.1534</v>
      </c>
      <c r="H314" s="64">
        <v>0.2343</v>
      </c>
    </row>
    <row r="315">
      <c r="A315" s="64">
        <v>0.1468</v>
      </c>
      <c r="B315" s="64">
        <v>0.2168</v>
      </c>
      <c r="C315" s="64">
        <v>0.1481</v>
      </c>
      <c r="D315" s="64">
        <v>0.2082</v>
      </c>
      <c r="E315" s="64">
        <v>0.2038</v>
      </c>
      <c r="F315" s="64">
        <v>0.2416</v>
      </c>
      <c r="G315" s="64">
        <v>0.1975</v>
      </c>
      <c r="H315" s="64">
        <v>0.2147</v>
      </c>
    </row>
    <row r="316">
      <c r="A316" s="64">
        <v>0.1472</v>
      </c>
      <c r="B316" s="64">
        <v>0.2331</v>
      </c>
      <c r="C316" s="64">
        <v>0.1433</v>
      </c>
      <c r="D316" s="64">
        <v>0.1883</v>
      </c>
      <c r="E316" s="64">
        <v>0.1983</v>
      </c>
      <c r="F316" s="64">
        <v>0.2456</v>
      </c>
      <c r="G316" s="64">
        <v>0.1506</v>
      </c>
      <c r="H316" s="64">
        <v>0.1715</v>
      </c>
    </row>
    <row r="317">
      <c r="A317" s="64">
        <v>0.1558</v>
      </c>
      <c r="B317" s="64">
        <v>0.2319</v>
      </c>
      <c r="C317" s="64">
        <v>0.1484</v>
      </c>
      <c r="D317" s="64">
        <v>0.201</v>
      </c>
      <c r="E317" s="64">
        <v>0.2044</v>
      </c>
      <c r="F317" s="64">
        <v>0.2704</v>
      </c>
      <c r="G317" s="64">
        <v>0.1555</v>
      </c>
      <c r="H317" s="64">
        <v>0.1979</v>
      </c>
    </row>
    <row r="318">
      <c r="A318" s="64">
        <v>0.1479</v>
      </c>
      <c r="B318" s="64">
        <v>0.2298</v>
      </c>
      <c r="C318" s="64">
        <v>0.1485</v>
      </c>
      <c r="D318" s="64">
        <v>0.2067</v>
      </c>
      <c r="E318" s="64">
        <v>0.2111</v>
      </c>
      <c r="F318" s="64">
        <v>0.2371</v>
      </c>
      <c r="G318" s="64">
        <v>0.1747</v>
      </c>
      <c r="H318" s="64">
        <v>0.1943</v>
      </c>
    </row>
    <row r="319">
      <c r="A319" s="64">
        <v>0.153</v>
      </c>
      <c r="B319" s="64">
        <v>0.2296</v>
      </c>
      <c r="C319" s="64">
        <v>0.1296</v>
      </c>
      <c r="D319" s="64">
        <v>0.192</v>
      </c>
      <c r="E319" s="64">
        <v>0.2139</v>
      </c>
      <c r="F319" s="64">
        <v>0.225</v>
      </c>
      <c r="G319" s="64">
        <v>0.1706</v>
      </c>
      <c r="H319" s="64">
        <v>0.1958</v>
      </c>
    </row>
    <row r="320">
      <c r="A320" s="64">
        <v>0.1519</v>
      </c>
      <c r="B320" s="64">
        <v>0.2451</v>
      </c>
      <c r="C320" s="64">
        <v>0.1858</v>
      </c>
      <c r="D320" s="64">
        <v>0.1946</v>
      </c>
      <c r="E320" s="64">
        <v>0.1818</v>
      </c>
      <c r="F320" s="64">
        <v>0.2374</v>
      </c>
      <c r="G320" s="64">
        <v>0.1653</v>
      </c>
      <c r="H320" s="64">
        <v>0.1797</v>
      </c>
    </row>
    <row r="321">
      <c r="A321" s="64">
        <v>0.1806</v>
      </c>
      <c r="B321" s="64">
        <v>0.2362</v>
      </c>
      <c r="C321" s="64">
        <v>0.1504</v>
      </c>
      <c r="D321" s="64">
        <v>0.2148</v>
      </c>
      <c r="E321" s="64">
        <v>0.215</v>
      </c>
      <c r="F321" s="64">
        <v>0.2023</v>
      </c>
      <c r="G321" s="64">
        <v>0.1852</v>
      </c>
      <c r="H321" s="64">
        <v>0.2106</v>
      </c>
    </row>
    <row r="322">
      <c r="A322" s="64">
        <v>0.1473</v>
      </c>
      <c r="B322" s="64">
        <v>0.2326</v>
      </c>
      <c r="C322" s="64">
        <v>0.1593</v>
      </c>
      <c r="D322" s="64">
        <v>0.166</v>
      </c>
      <c r="E322" s="64">
        <v>0.2553</v>
      </c>
      <c r="F322" s="64">
        <v>0.2502</v>
      </c>
      <c r="G322" s="64">
        <v>0.1803</v>
      </c>
      <c r="H322" s="64">
        <v>0.2044</v>
      </c>
    </row>
    <row r="323">
      <c r="A323" s="64">
        <v>0.1718</v>
      </c>
      <c r="B323" s="64">
        <v>0.2533</v>
      </c>
      <c r="C323" s="64">
        <v>0.1964</v>
      </c>
      <c r="D323" s="64">
        <v>0.1856</v>
      </c>
      <c r="E323" s="64">
        <v>0.2038</v>
      </c>
      <c r="F323" s="64">
        <v>0.2484</v>
      </c>
      <c r="G323" s="64">
        <v>0.1801</v>
      </c>
      <c r="H323" s="64">
        <v>0.2479</v>
      </c>
    </row>
    <row r="324">
      <c r="A324" s="64">
        <v>0.1266</v>
      </c>
      <c r="B324" s="64">
        <v>0.24</v>
      </c>
      <c r="C324" s="64">
        <v>0.1238</v>
      </c>
      <c r="D324" s="64">
        <v>0.1839</v>
      </c>
      <c r="E324" s="64">
        <v>0.245</v>
      </c>
      <c r="F324" s="64">
        <v>0.2617</v>
      </c>
      <c r="G324" s="64">
        <v>0.1389</v>
      </c>
      <c r="H324" s="64">
        <v>0.1969</v>
      </c>
    </row>
    <row r="325">
      <c r="A325" s="64">
        <v>0.1433</v>
      </c>
      <c r="B325" s="64">
        <v>0.2297</v>
      </c>
      <c r="C325" s="64">
        <v>0.1563</v>
      </c>
      <c r="D325" s="64">
        <v>0.1998</v>
      </c>
      <c r="E325" s="64">
        <v>0.2236</v>
      </c>
      <c r="F325" s="64">
        <v>0.2207</v>
      </c>
      <c r="G325" s="64">
        <v>0.1927</v>
      </c>
      <c r="H325" s="64">
        <v>0.192</v>
      </c>
    </row>
    <row r="326">
      <c r="A326" s="64">
        <v>0.1457</v>
      </c>
      <c r="B326" s="64">
        <v>0.2366</v>
      </c>
      <c r="C326" s="64">
        <v>0.1884</v>
      </c>
      <c r="D326" s="64">
        <v>0.1646</v>
      </c>
      <c r="E326" s="64">
        <v>0.2349</v>
      </c>
      <c r="F326" s="64">
        <v>0.2286</v>
      </c>
      <c r="G326" s="64">
        <v>0.175</v>
      </c>
      <c r="H326" s="64">
        <v>0.2035</v>
      </c>
    </row>
    <row r="327">
      <c r="A327" s="64">
        <v>0.155</v>
      </c>
      <c r="B327" s="64">
        <v>0.2298</v>
      </c>
      <c r="C327" s="64">
        <v>0.1119</v>
      </c>
      <c r="D327" s="64">
        <v>0.1977</v>
      </c>
      <c r="E327" s="64">
        <v>0.2106</v>
      </c>
      <c r="F327" s="64">
        <v>0.223</v>
      </c>
      <c r="G327" s="64">
        <v>0.1696</v>
      </c>
      <c r="H327" s="64">
        <v>0.1843</v>
      </c>
    </row>
    <row r="328">
      <c r="A328" s="64">
        <v>0.1569</v>
      </c>
      <c r="B328" s="64">
        <v>0.2664</v>
      </c>
      <c r="C328" s="64">
        <v>0.1449</v>
      </c>
      <c r="D328" s="64">
        <v>0.1932</v>
      </c>
      <c r="E328" s="64">
        <v>0.25</v>
      </c>
      <c r="F328" s="64">
        <v>0.2728</v>
      </c>
      <c r="G328" s="64">
        <v>0.1567</v>
      </c>
      <c r="H328" s="64">
        <v>0.2043</v>
      </c>
    </row>
    <row r="329">
      <c r="A329" s="64">
        <v>0.1587</v>
      </c>
      <c r="B329" s="64">
        <v>0.2293</v>
      </c>
      <c r="C329" s="64">
        <v>0.1426</v>
      </c>
      <c r="D329" s="64">
        <v>0.2487</v>
      </c>
      <c r="E329" s="64">
        <v>0.195</v>
      </c>
      <c r="F329" s="64">
        <v>0.2711</v>
      </c>
      <c r="G329" s="64">
        <v>0.1854</v>
      </c>
      <c r="H329" s="64">
        <v>0.2252</v>
      </c>
    </row>
    <row r="330">
      <c r="A330" s="64">
        <v>0.1578</v>
      </c>
      <c r="B330" s="64">
        <v>0.256</v>
      </c>
      <c r="C330" s="64">
        <v>0.1227</v>
      </c>
      <c r="D330" s="64">
        <v>0.1754</v>
      </c>
      <c r="E330" s="64">
        <v>0.2671</v>
      </c>
      <c r="F330" s="64">
        <v>0.2674</v>
      </c>
      <c r="G330" s="64">
        <v>0.1557</v>
      </c>
      <c r="H330" s="64">
        <v>0.1782</v>
      </c>
    </row>
    <row r="331">
      <c r="A331" s="64">
        <v>0.1714</v>
      </c>
      <c r="B331" s="64">
        <v>0.2121</v>
      </c>
      <c r="C331" s="64">
        <v>0.1334</v>
      </c>
      <c r="D331" s="64">
        <v>0.1948</v>
      </c>
      <c r="E331" s="64">
        <v>0.2149</v>
      </c>
      <c r="F331" s="64">
        <v>0.2461</v>
      </c>
      <c r="G331" s="64">
        <v>0.1543</v>
      </c>
      <c r="H331" s="64">
        <v>0.2169</v>
      </c>
    </row>
    <row r="332">
      <c r="A332" s="64">
        <v>0.1787</v>
      </c>
      <c r="B332" s="64">
        <v>0.2455</v>
      </c>
      <c r="C332" s="64">
        <v>0.1545</v>
      </c>
      <c r="D332" s="64">
        <v>0.1828</v>
      </c>
      <c r="E332" s="64">
        <v>0.2335</v>
      </c>
      <c r="F332" s="64">
        <v>0.2871</v>
      </c>
      <c r="G332" s="64">
        <v>0.1733</v>
      </c>
      <c r="H332" s="64">
        <v>0.208</v>
      </c>
    </row>
    <row r="333">
      <c r="A333" s="64">
        <v>0.165</v>
      </c>
      <c r="B333" s="64">
        <v>0.2343</v>
      </c>
      <c r="C333" s="64">
        <v>0.1487</v>
      </c>
      <c r="D333" s="64">
        <v>0.2146</v>
      </c>
      <c r="E333" s="64">
        <v>0.2103</v>
      </c>
      <c r="F333" s="64">
        <v>0.2564</v>
      </c>
      <c r="G333" s="64">
        <v>0.1793</v>
      </c>
      <c r="H333" s="64">
        <v>0.1864</v>
      </c>
    </row>
    <row r="334">
      <c r="A334" s="64">
        <v>0.1575</v>
      </c>
      <c r="B334" s="64">
        <v>0.2299</v>
      </c>
      <c r="C334" s="64">
        <v>0.1664</v>
      </c>
      <c r="D334" s="64">
        <v>0.216</v>
      </c>
      <c r="E334" s="64">
        <v>0.2029</v>
      </c>
      <c r="F334" s="64">
        <v>0.201</v>
      </c>
      <c r="G334" s="64">
        <v>0.1553</v>
      </c>
      <c r="H334" s="64">
        <v>0.22</v>
      </c>
    </row>
    <row r="335">
      <c r="A335" s="64">
        <v>0.1548</v>
      </c>
      <c r="B335" s="64">
        <v>0.2362</v>
      </c>
      <c r="C335" s="64">
        <v>0.1437</v>
      </c>
      <c r="D335" s="64">
        <v>0.1871</v>
      </c>
      <c r="E335" s="64">
        <v>0.208</v>
      </c>
      <c r="F335" s="64">
        <v>0.2146</v>
      </c>
      <c r="G335" s="64">
        <v>0.1543</v>
      </c>
      <c r="H335" s="64">
        <v>0.2089</v>
      </c>
    </row>
    <row r="336">
      <c r="A336" s="64">
        <v>0.1744</v>
      </c>
      <c r="B336" s="64">
        <v>0.2309</v>
      </c>
      <c r="C336" s="64">
        <v>0.162</v>
      </c>
      <c r="D336" s="64">
        <v>0.1734</v>
      </c>
      <c r="E336" s="64">
        <v>0.2047</v>
      </c>
      <c r="F336" s="64">
        <v>0.2317</v>
      </c>
      <c r="G336" s="64">
        <v>0.1424</v>
      </c>
      <c r="H336" s="64">
        <v>0.2079</v>
      </c>
    </row>
    <row r="337">
      <c r="A337" s="64">
        <v>0.1644</v>
      </c>
      <c r="B337" s="64">
        <v>0.2676</v>
      </c>
      <c r="C337" s="64">
        <v>0.1585</v>
      </c>
      <c r="D337" s="64">
        <v>0.2127</v>
      </c>
      <c r="E337" s="64">
        <v>0.1849</v>
      </c>
      <c r="F337" s="64">
        <v>0.2426</v>
      </c>
      <c r="G337" s="64">
        <v>0.1769</v>
      </c>
      <c r="H337" s="64">
        <v>0.1793</v>
      </c>
    </row>
    <row r="338">
      <c r="A338" s="64">
        <v>0.1158</v>
      </c>
      <c r="B338" s="64">
        <v>0.2176</v>
      </c>
      <c r="C338" s="64">
        <v>0.1827</v>
      </c>
      <c r="D338" s="64">
        <v>0.1878</v>
      </c>
      <c r="E338" s="64">
        <v>0.2435</v>
      </c>
      <c r="F338" s="64">
        <v>0.2957</v>
      </c>
      <c r="G338" s="64">
        <v>0.1902</v>
      </c>
      <c r="H338" s="64">
        <v>0.1915</v>
      </c>
    </row>
    <row r="339">
      <c r="A339" s="64">
        <v>0.164</v>
      </c>
      <c r="B339" s="64">
        <v>0.2176</v>
      </c>
      <c r="C339" s="64">
        <v>0.1426</v>
      </c>
      <c r="D339" s="64">
        <v>0.1972</v>
      </c>
      <c r="E339" s="64">
        <v>0.2093</v>
      </c>
      <c r="F339" s="64">
        <v>0.225</v>
      </c>
      <c r="G339" s="64">
        <v>0.1867</v>
      </c>
      <c r="H339" s="64">
        <v>0.2055</v>
      </c>
    </row>
    <row r="340">
      <c r="A340" s="64">
        <v>0.1695</v>
      </c>
      <c r="B340" s="64">
        <v>0.221</v>
      </c>
      <c r="C340" s="64">
        <v>0.1965</v>
      </c>
      <c r="D340" s="64">
        <v>0.1808</v>
      </c>
      <c r="E340" s="64">
        <v>0.2176</v>
      </c>
      <c r="F340" s="64">
        <v>0.2412</v>
      </c>
      <c r="G340" s="64">
        <v>0.1776</v>
      </c>
      <c r="H340" s="64">
        <v>0.1644</v>
      </c>
    </row>
    <row r="341">
      <c r="A341" s="64">
        <v>0.1564</v>
      </c>
      <c r="B341" s="64">
        <v>0.2554</v>
      </c>
      <c r="C341" s="64">
        <v>0.1594</v>
      </c>
      <c r="D341" s="64">
        <v>0.1899</v>
      </c>
      <c r="E341" s="64">
        <v>0.2134</v>
      </c>
      <c r="F341" s="64">
        <v>0.2781</v>
      </c>
      <c r="G341" s="64">
        <v>0.1773</v>
      </c>
      <c r="H341" s="64">
        <v>0.2131</v>
      </c>
    </row>
    <row r="342">
      <c r="A342" s="16" t="s">
        <v>1080</v>
      </c>
      <c r="B342" s="16" t="s">
        <v>1080</v>
      </c>
      <c r="C342" s="16" t="s">
        <v>1080</v>
      </c>
      <c r="D342" s="16" t="s">
        <v>1080</v>
      </c>
      <c r="E342" s="16" t="s">
        <v>1080</v>
      </c>
      <c r="F342" s="16" t="s">
        <v>1080</v>
      </c>
      <c r="G342" s="16" t="s">
        <v>1080</v>
      </c>
      <c r="H342" s="16" t="s">
        <v>1080</v>
      </c>
    </row>
    <row r="343">
      <c r="A343" s="16" t="s">
        <v>1081</v>
      </c>
      <c r="B343" s="16" t="s">
        <v>1081</v>
      </c>
      <c r="C343" s="16" t="s">
        <v>1081</v>
      </c>
      <c r="D343" s="16" t="s">
        <v>1081</v>
      </c>
      <c r="E343" s="16" t="s">
        <v>1081</v>
      </c>
      <c r="F343" s="16" t="s">
        <v>1081</v>
      </c>
      <c r="G343" s="16" t="s">
        <v>1081</v>
      </c>
      <c r="H343" s="16" t="s">
        <v>1081</v>
      </c>
    </row>
    <row r="344">
      <c r="A344" s="16">
        <v>23.62</v>
      </c>
      <c r="B344" s="16">
        <v>41.1</v>
      </c>
      <c r="C344" s="16">
        <v>23.5</v>
      </c>
      <c r="D344" s="16">
        <v>23.0</v>
      </c>
      <c r="E344" s="16">
        <v>32.34</v>
      </c>
      <c r="F344" s="16">
        <v>23.1</v>
      </c>
      <c r="G344" s="16">
        <v>29.0</v>
      </c>
      <c r="H344" s="16">
        <v>32.04</v>
      </c>
    </row>
    <row r="345">
      <c r="A345" s="16">
        <v>22.73</v>
      </c>
      <c r="B345" s="16">
        <v>53.13</v>
      </c>
      <c r="C345" s="16">
        <v>29.79</v>
      </c>
      <c r="D345" s="16">
        <v>15.01</v>
      </c>
      <c r="E345" s="16">
        <v>24.12</v>
      </c>
      <c r="F345" s="16">
        <v>24.58</v>
      </c>
      <c r="G345" s="16">
        <v>28.64</v>
      </c>
      <c r="H345" s="16">
        <v>31.87</v>
      </c>
    </row>
    <row r="346">
      <c r="A346" s="16">
        <v>21.39</v>
      </c>
      <c r="B346" s="16">
        <v>48.35</v>
      </c>
      <c r="C346" s="16">
        <v>26.09</v>
      </c>
      <c r="D346" s="16">
        <v>20.36</v>
      </c>
      <c r="E346" s="16">
        <v>19.73</v>
      </c>
      <c r="F346" s="16">
        <v>20.66</v>
      </c>
      <c r="G346" s="16">
        <v>24.76</v>
      </c>
      <c r="H346" s="16">
        <v>46.34</v>
      </c>
    </row>
    <row r="347">
      <c r="A347" s="16">
        <v>21.73</v>
      </c>
      <c r="B347" s="16">
        <v>47.64</v>
      </c>
      <c r="C347" s="16">
        <v>35.07</v>
      </c>
      <c r="D347" s="16">
        <v>13.13</v>
      </c>
      <c r="E347" s="16">
        <v>28.72</v>
      </c>
      <c r="F347" s="16">
        <v>17.13</v>
      </c>
      <c r="G347" s="16">
        <v>23.39</v>
      </c>
      <c r="H347" s="16">
        <v>41.83</v>
      </c>
    </row>
    <row r="348">
      <c r="A348" s="16">
        <v>22.91</v>
      </c>
      <c r="B348" s="16">
        <v>47.85</v>
      </c>
      <c r="C348" s="16">
        <v>30.89</v>
      </c>
      <c r="D348" s="16">
        <v>15.63</v>
      </c>
      <c r="E348" s="16">
        <v>35.2</v>
      </c>
      <c r="F348" s="16">
        <v>21.89</v>
      </c>
      <c r="G348" s="16">
        <v>18.8</v>
      </c>
      <c r="H348" s="16">
        <v>27.55</v>
      </c>
    </row>
    <row r="349">
      <c r="A349" s="16">
        <v>32.09</v>
      </c>
      <c r="B349" s="16">
        <v>52.62</v>
      </c>
      <c r="C349" s="16">
        <v>35.68</v>
      </c>
      <c r="D349" s="16">
        <v>24.53</v>
      </c>
      <c r="E349" s="16">
        <v>17.63</v>
      </c>
      <c r="F349" s="16">
        <v>20.81</v>
      </c>
      <c r="G349" s="16">
        <v>22.2</v>
      </c>
      <c r="H349" s="16">
        <v>33.85</v>
      </c>
    </row>
    <row r="350">
      <c r="A350" s="16">
        <v>19.53</v>
      </c>
      <c r="B350" s="16">
        <v>52.51</v>
      </c>
      <c r="C350" s="16">
        <v>34.66</v>
      </c>
      <c r="D350" s="16">
        <v>20.76</v>
      </c>
      <c r="E350" s="16">
        <v>25.42</v>
      </c>
      <c r="F350" s="16">
        <v>13.12</v>
      </c>
      <c r="G350" s="16">
        <v>22.18</v>
      </c>
      <c r="H350" s="16">
        <v>25.12</v>
      </c>
    </row>
    <row r="351">
      <c r="A351" s="16">
        <v>20.89</v>
      </c>
      <c r="B351" s="16">
        <v>47.52</v>
      </c>
      <c r="C351" s="16">
        <v>23.66</v>
      </c>
      <c r="D351" s="16">
        <v>17.04</v>
      </c>
      <c r="E351" s="16">
        <v>35.29</v>
      </c>
      <c r="F351" s="16">
        <v>21.07</v>
      </c>
      <c r="G351" s="16">
        <v>30.35</v>
      </c>
      <c r="H351" s="16">
        <v>27.42</v>
      </c>
    </row>
    <row r="352">
      <c r="A352" s="16">
        <v>16.48</v>
      </c>
      <c r="B352" s="16">
        <v>49.27</v>
      </c>
      <c r="C352" s="16">
        <v>34.68</v>
      </c>
      <c r="D352" s="16">
        <v>28.25</v>
      </c>
      <c r="E352" s="16">
        <v>31.45</v>
      </c>
      <c r="F352" s="16">
        <v>22.23</v>
      </c>
      <c r="G352" s="16">
        <v>20.11</v>
      </c>
      <c r="H352" s="16">
        <v>26.7</v>
      </c>
    </row>
    <row r="353">
      <c r="A353" s="16">
        <v>22.69</v>
      </c>
      <c r="B353" s="16">
        <v>37.39</v>
      </c>
      <c r="C353" s="16">
        <v>26.01</v>
      </c>
      <c r="D353" s="16">
        <v>31.36</v>
      </c>
      <c r="E353" s="16">
        <v>26.01</v>
      </c>
      <c r="F353" s="16">
        <v>13.36</v>
      </c>
      <c r="G353" s="16">
        <v>12.15</v>
      </c>
      <c r="H353" s="16">
        <v>51.14</v>
      </c>
    </row>
    <row r="354">
      <c r="A354" s="16">
        <v>22.29</v>
      </c>
      <c r="B354" s="16">
        <v>51.26</v>
      </c>
      <c r="C354" s="16">
        <v>21.35</v>
      </c>
      <c r="D354" s="16">
        <v>20.23</v>
      </c>
      <c r="E354" s="16">
        <v>41.32</v>
      </c>
      <c r="F354" s="16">
        <v>28.13</v>
      </c>
      <c r="G354" s="16">
        <v>31.57</v>
      </c>
      <c r="H354" s="16">
        <v>34.54</v>
      </c>
    </row>
    <row r="355">
      <c r="A355" s="16">
        <v>24.46</v>
      </c>
      <c r="B355" s="16">
        <v>51.24</v>
      </c>
      <c r="C355" s="16">
        <v>44.67</v>
      </c>
      <c r="D355" s="16">
        <v>14.9</v>
      </c>
      <c r="E355" s="16">
        <v>18.07</v>
      </c>
      <c r="F355" s="16">
        <v>27.35</v>
      </c>
      <c r="G355" s="16">
        <v>21.03</v>
      </c>
      <c r="H355" s="16">
        <v>48.15</v>
      </c>
    </row>
    <row r="356">
      <c r="A356" s="16">
        <v>23.68</v>
      </c>
      <c r="B356" s="16">
        <v>35.58</v>
      </c>
      <c r="C356" s="16">
        <v>20.52</v>
      </c>
      <c r="D356" s="16">
        <v>24.94</v>
      </c>
      <c r="E356" s="16">
        <v>39.39</v>
      </c>
      <c r="F356" s="16">
        <v>22.58</v>
      </c>
      <c r="G356" s="16">
        <v>17.98</v>
      </c>
      <c r="H356" s="16">
        <v>33.32</v>
      </c>
    </row>
    <row r="357">
      <c r="A357" s="16">
        <v>23.37</v>
      </c>
      <c r="B357" s="16">
        <v>38.77</v>
      </c>
      <c r="C357" s="16">
        <v>36.23</v>
      </c>
      <c r="D357" s="16">
        <v>22.98</v>
      </c>
      <c r="E357" s="16">
        <v>22.31</v>
      </c>
      <c r="F357" s="16">
        <v>19.73</v>
      </c>
      <c r="G357" s="16">
        <v>20.56</v>
      </c>
      <c r="H357" s="16">
        <v>34.31</v>
      </c>
    </row>
    <row r="358">
      <c r="A358" s="16">
        <v>20.24</v>
      </c>
      <c r="B358" s="16">
        <v>43.89</v>
      </c>
      <c r="C358" s="16">
        <v>32.31</v>
      </c>
      <c r="D358" s="16">
        <v>11.43</v>
      </c>
      <c r="E358" s="16">
        <v>36.68</v>
      </c>
      <c r="F358" s="16">
        <v>27.73</v>
      </c>
      <c r="G358" s="16">
        <v>20.05</v>
      </c>
      <c r="H358" s="16">
        <v>35.24</v>
      </c>
    </row>
    <row r="359">
      <c r="A359" s="16">
        <v>19.65</v>
      </c>
      <c r="B359" s="16">
        <v>42.69</v>
      </c>
      <c r="C359" s="16">
        <v>20.45</v>
      </c>
      <c r="D359" s="16">
        <v>19.51</v>
      </c>
      <c r="E359" s="16">
        <v>35.4</v>
      </c>
      <c r="F359" s="16">
        <v>20.19</v>
      </c>
      <c r="G359" s="16">
        <v>21.19</v>
      </c>
      <c r="H359" s="16">
        <v>39.05</v>
      </c>
    </row>
    <row r="360">
      <c r="A360" s="16">
        <v>29.28</v>
      </c>
      <c r="B360" s="16">
        <v>39.36</v>
      </c>
      <c r="C360" s="16">
        <v>26.5</v>
      </c>
      <c r="D360" s="16">
        <v>18.46</v>
      </c>
      <c r="E360" s="16">
        <v>26.66</v>
      </c>
      <c r="F360" s="16">
        <v>23.46</v>
      </c>
      <c r="G360" s="16">
        <v>25.14</v>
      </c>
      <c r="H360" s="16">
        <v>39.08</v>
      </c>
    </row>
    <row r="361">
      <c r="A361" s="16">
        <v>22.46</v>
      </c>
      <c r="B361" s="16">
        <v>43.8</v>
      </c>
      <c r="C361" s="16">
        <v>30.96</v>
      </c>
      <c r="D361" s="16">
        <v>24.16</v>
      </c>
      <c r="E361" s="16">
        <v>27.47</v>
      </c>
      <c r="F361" s="16">
        <v>24.95</v>
      </c>
      <c r="G361" s="16">
        <v>32.29</v>
      </c>
      <c r="H361" s="16">
        <v>31.24</v>
      </c>
    </row>
    <row r="362">
      <c r="A362" s="16">
        <v>13.09</v>
      </c>
      <c r="B362" s="16">
        <v>56.15</v>
      </c>
      <c r="C362" s="16">
        <v>32.08</v>
      </c>
      <c r="D362" s="16">
        <v>26.55</v>
      </c>
      <c r="E362" s="16">
        <v>38.12</v>
      </c>
      <c r="F362" s="16">
        <v>19.79</v>
      </c>
      <c r="G362" s="16">
        <v>18.57</v>
      </c>
      <c r="H362" s="16">
        <v>27.63</v>
      </c>
    </row>
    <row r="363">
      <c r="A363" s="16">
        <v>25.04</v>
      </c>
      <c r="B363" s="16">
        <v>36.29</v>
      </c>
      <c r="C363" s="16">
        <v>27.7</v>
      </c>
      <c r="D363" s="16">
        <v>22.81</v>
      </c>
      <c r="E363" s="16">
        <v>29.65</v>
      </c>
      <c r="F363" s="16">
        <v>19.07</v>
      </c>
      <c r="G363" s="16">
        <v>16.73</v>
      </c>
      <c r="H363" s="16">
        <v>40.65</v>
      </c>
    </row>
    <row r="364">
      <c r="A364" s="16">
        <v>13.88</v>
      </c>
      <c r="B364" s="16">
        <v>60.89</v>
      </c>
      <c r="C364" s="16">
        <v>42.04</v>
      </c>
      <c r="D364" s="16">
        <v>23.11</v>
      </c>
      <c r="E364" s="16">
        <v>17.79</v>
      </c>
      <c r="F364" s="16">
        <v>33.02</v>
      </c>
      <c r="G364" s="16">
        <v>42.52</v>
      </c>
      <c r="H364" s="16">
        <v>23.19</v>
      </c>
    </row>
    <row r="365">
      <c r="A365" s="16">
        <v>20.84</v>
      </c>
      <c r="B365" s="16">
        <v>50.77</v>
      </c>
      <c r="C365" s="16">
        <v>36.68</v>
      </c>
      <c r="D365" s="16">
        <v>21.51</v>
      </c>
      <c r="E365" s="16">
        <v>32.99</v>
      </c>
      <c r="F365" s="16">
        <v>23.7</v>
      </c>
      <c r="G365" s="16">
        <v>24.43</v>
      </c>
      <c r="H365" s="16">
        <v>29.81</v>
      </c>
    </row>
    <row r="366">
      <c r="A366" s="16">
        <v>25.21</v>
      </c>
      <c r="B366" s="16">
        <v>41.24</v>
      </c>
      <c r="C366" s="16">
        <v>29.54</v>
      </c>
      <c r="D366" s="16">
        <v>19.71</v>
      </c>
      <c r="E366" s="16">
        <v>27.01</v>
      </c>
      <c r="F366" s="16">
        <v>16.38</v>
      </c>
      <c r="G366" s="16">
        <v>14.27</v>
      </c>
      <c r="H366" s="16">
        <v>40.65</v>
      </c>
    </row>
    <row r="367">
      <c r="A367" s="16">
        <v>24.94</v>
      </c>
      <c r="B367" s="16">
        <v>46.26</v>
      </c>
      <c r="C367" s="16">
        <v>27.8</v>
      </c>
      <c r="D367" s="16">
        <v>13.18</v>
      </c>
      <c r="E367" s="16">
        <v>37.07</v>
      </c>
      <c r="F367" s="16">
        <v>18.88</v>
      </c>
      <c r="G367" s="16">
        <v>20.46</v>
      </c>
      <c r="H367" s="16">
        <v>31.84</v>
      </c>
    </row>
    <row r="368">
      <c r="A368" s="16">
        <v>15.13</v>
      </c>
      <c r="B368" s="16">
        <v>52.25</v>
      </c>
      <c r="C368" s="16">
        <v>25.81</v>
      </c>
      <c r="D368" s="16">
        <v>11.75</v>
      </c>
      <c r="E368" s="16">
        <v>32.82</v>
      </c>
      <c r="F368" s="16">
        <v>28.99</v>
      </c>
      <c r="G368" s="16">
        <v>23.71</v>
      </c>
      <c r="H368" s="16">
        <v>35.55</v>
      </c>
    </row>
    <row r="369">
      <c r="A369" s="16">
        <v>20.65</v>
      </c>
      <c r="B369" s="16">
        <v>41.35</v>
      </c>
      <c r="C369" s="16">
        <v>29.65</v>
      </c>
      <c r="D369" s="16">
        <v>18.87</v>
      </c>
      <c r="E369" s="16">
        <v>34.83</v>
      </c>
      <c r="F369" s="16">
        <v>30.19</v>
      </c>
      <c r="G369" s="16">
        <v>19.95</v>
      </c>
      <c r="H369" s="16">
        <v>34.62</v>
      </c>
    </row>
    <row r="370">
      <c r="A370" s="16">
        <v>25.01</v>
      </c>
      <c r="B370" s="16">
        <v>40.04</v>
      </c>
      <c r="C370" s="16">
        <v>40.76</v>
      </c>
      <c r="D370" s="16">
        <v>16.79</v>
      </c>
      <c r="E370" s="16">
        <v>13.5</v>
      </c>
      <c r="F370" s="16">
        <v>30.73</v>
      </c>
      <c r="G370" s="16">
        <v>29.69</v>
      </c>
      <c r="H370" s="16">
        <v>27.63</v>
      </c>
    </row>
    <row r="371">
      <c r="A371" s="16">
        <v>24.18</v>
      </c>
      <c r="B371" s="16">
        <v>43.26</v>
      </c>
      <c r="C371" s="16">
        <v>31.31</v>
      </c>
      <c r="D371" s="16">
        <v>15.85</v>
      </c>
      <c r="E371" s="16">
        <v>35.61</v>
      </c>
      <c r="F371" s="16">
        <v>17.66</v>
      </c>
      <c r="G371" s="16">
        <v>21.41</v>
      </c>
      <c r="H371" s="16">
        <v>30.19</v>
      </c>
    </row>
    <row r="372">
      <c r="A372" s="16">
        <v>20.57</v>
      </c>
      <c r="B372" s="16">
        <v>37.97</v>
      </c>
      <c r="C372" s="16">
        <v>24.66</v>
      </c>
      <c r="D372" s="16">
        <v>22.57</v>
      </c>
      <c r="E372" s="16">
        <v>30.88</v>
      </c>
      <c r="F372" s="16">
        <v>25.2</v>
      </c>
      <c r="G372" s="16">
        <v>27.27</v>
      </c>
      <c r="H372" s="16">
        <v>30.42</v>
      </c>
    </row>
    <row r="373">
      <c r="A373" s="16">
        <v>16.4</v>
      </c>
      <c r="B373" s="16">
        <v>49.09</v>
      </c>
      <c r="C373" s="16">
        <v>33.27</v>
      </c>
      <c r="D373" s="16">
        <v>19.44</v>
      </c>
      <c r="E373" s="16">
        <v>33.01</v>
      </c>
      <c r="F373" s="16">
        <v>23.41</v>
      </c>
      <c r="G373" s="16">
        <v>25.81</v>
      </c>
      <c r="H373" s="16">
        <v>33.09</v>
      </c>
    </row>
  </sheetData>
  <drawing r:id="rId1"/>
</worksheet>
</file>