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inked PriceSheet" state="visible" r:id="rId3"/>
    <sheet sheetId="2" name="Title" state="visible" r:id="rId4"/>
    <sheet sheetId="3" name="Quotable &amp; Invoicable Items" state="hidden" r:id="rId5"/>
    <sheet sheetId="4" name="Unit Prices" state="visible" r:id="rId6"/>
    <sheet sheetId="5" name="Volume Discount Rate Schedule" state="hidden" r:id="rId7"/>
    <sheet sheetId="6" name="Product Calculation Rules" state="visible" r:id="rId8"/>
    <sheet sheetId="7" name="CalculatorDetails" state="visible" r:id="rId9"/>
    <sheet sheetId="8" name="Calculator" state="visible" r:id="rId10"/>
    <sheet sheetId="9" name="Estimate Form" state="visible" r:id="rId11"/>
  </sheets>
  <definedNames>
    <definedName name="iops_exponential_growth">Calculator!$D$30</definedName>
    <definedName name="iops_end">Calculator!$D$29</definedName>
    <definedName name="storage_capacity_increase_every_month">CalculatorDetails!$B$58</definedName>
    <definedName name="storage_price_perGB_perMonth">Calculator!$B$99</definedName>
    <definedName name="enterprise_support_rate">CalculatorDetails!$B$53</definedName>
    <definedName name="response_time_tier_percent">Calculator!$B$101</definedName>
    <definedName name="term_months">Calculator!$D$22</definedName>
    <definedName name="snapshots_active_rate">Calculator!$D$35</definedName>
    <definedName name="storage_discount">Calculator!$D$72</definedName>
    <definedName name="storage_active_rate">Calculator!$D$34</definedName>
    <definedName name="price_year3">Calculator!$I$116</definedName>
    <definedName name="customer_volume_discount_band_same_across_years">CalculatorDetails!$D$121</definedName>
    <definedName name="storage_capacity_end">Calculator!$D$23</definedName>
    <definedName name="iops">Calculator!$D$27</definedName>
    <definedName name="term_variable_iops">CalculatorDetails!$C$55</definedName>
    <definedName name="price_year2">Calculator!$H$116</definedName>
    <definedName name="iops_price_for_oneYear">Calculator!$G$100</definedName>
    <definedName name="encryption_adder_percent">Calculator!$B$102</definedName>
    <definedName name="iops_price_perIopsMonth">Calculator!$B$100</definedName>
    <definedName name="price_year1">Calculator!$G$116</definedName>
    <definedName name="storage_capacity_beginning">Calculator!$D$19</definedName>
    <definedName name="iops_increase_every_month">CalculatorDetails!$B$59</definedName>
    <definedName name="term_variable">CalculatorDetails!$C$54</definedName>
    <definedName name="compute_discount">Calculator!$D$73</definedName>
    <definedName name="storage_exponential_growth">Calculator!$D$24</definedName>
  </definedNames>
  <calcPr/>
</workbook>
</file>

<file path=xl/sharedStrings.xml><?xml version="1.0" encoding="utf-8"?>
<sst xmlns="http://schemas.openxmlformats.org/spreadsheetml/2006/main" count="1308" uniqueCount="515">
  <si>
    <t>CSP</t>
  </si>
  <si>
    <t>REGION</t>
  </si>
  <si>
    <t>PRODUCT TYPE</t>
  </si>
  <si>
    <t>CATEGORY</t>
  </si>
  <si>
    <t>PRODUCT</t>
  </si>
  <si>
    <t>BILLING UNIT</t>
  </si>
  <si>
    <t>CURRENCY</t>
  </si>
  <si>
    <t>SKU</t>
  </si>
  <si>
    <t>PRICE</t>
  </si>
  <si>
    <t>OS</t>
  </si>
  <si>
    <t>Bracket Computing Master Price Book</t>
  </si>
  <si>
    <t>Effective: Apr 15 2014</t>
  </si>
  <si>
    <t>CONFIDENTIAL &amp; PROPRIETARY: FOR USE BY BRACKET EMPLOYEES ONLY; NOT FOR DISTRIBUTION</t>
  </si>
  <si>
    <t>INDEX</t>
  </si>
  <si>
    <t>QUOTABLE &amp; INVOICABLE ITEMS</t>
  </si>
  <si>
    <t>UNIT PRICES</t>
  </si>
  <si>
    <t>SAMPLE QUOTE / ORDER FORM</t>
  </si>
  <si>
    <t>VOLUME DISCOUNT RATE SCHEDULE</t>
  </si>
  <si>
    <t>PRODUCT CALCULATION RULES</t>
  </si>
  <si>
    <t>SIZING CALCULATOR</t>
  </si>
  <si>
    <t>PRODUCTS - BRACKET COMPUTING CELLS</t>
  </si>
  <si>
    <t>VOLUME PLANS</t>
  </si>
  <si>
    <t>COMMITTED VOLUME PLAN - 1Y; PAID UPFRONT</t>
  </si>
  <si>
    <t>DESCRIPTION</t>
  </si>
  <si>
    <t>BAND RANGE</t>
  </si>
  <si>
    <t>SELLING PRICE</t>
  </si>
  <si>
    <t>FIXED VOLUME DISCOUNT RATE</t>
  </si>
  <si>
    <t>Volume Band 1</t>
  </si>
  <si>
    <t>PRD-CMPCELL-CVOL-1-1Y-UPF</t>
  </si>
  <si>
    <t>$50,000 - $249,999</t>
  </si>
  <si>
    <t>AQ (AT QUOTE)</t>
  </si>
  <si>
    <t>Volume Band 2</t>
  </si>
  <si>
    <t>PRD-CMPCELL-CVOL-2-1Y-UPF</t>
  </si>
  <si>
    <t>$250,000 - $499,999</t>
  </si>
  <si>
    <t>AQ</t>
  </si>
  <si>
    <t>Volume Band 3</t>
  </si>
  <si>
    <t>PRD-CMPCELL-CVOL-3-1Y-UPF</t>
  </si>
  <si>
    <t>$500,000 - $999,999</t>
  </si>
  <si>
    <t>Volume Band 4</t>
  </si>
  <si>
    <t>PRD-CMPCELL-CVOL-4-1Y-UPF</t>
  </si>
  <si>
    <t>$1,000,000+</t>
  </si>
  <si>
    <t>COMMITTED VOLUME PLAN - 1Y; PAID BI-ANNUALLY</t>
  </si>
  <si>
    <t>PRD-CMPCELL-CVOL-1-1Y-BIAN</t>
  </si>
  <si>
    <t>PRD-CMPCELL-CVOL-2-1Y-BIAN</t>
  </si>
  <si>
    <t>PRD-CMPCELL-CVOL-3-1Y-BIAN</t>
  </si>
  <si>
    <t>PRD-CMPCELL-CVOL-4-1Y-BIAN</t>
  </si>
  <si>
    <t>COMMITTED VOLUME PLAN - 3Y; PAID UPFRONT</t>
  </si>
  <si>
    <t>PRD-CMPCELL-CVOL-1-3Y-UPF</t>
  </si>
  <si>
    <t>PRD-CMPCELL-CVOL-2-3Y-UPF</t>
  </si>
  <si>
    <t>PRD-CMPCELL-CVOL-3-3Y-UPF</t>
  </si>
  <si>
    <t>PRD-CMPCELL-CVOL-4-3Y-UPF</t>
  </si>
  <si>
    <t>COMMITTED VOLUME PLAN - 3Y; PAID BI-ANNUALLY</t>
  </si>
  <si>
    <t>PRD-CMPCELL-CVOL-1-3Y-BIAN</t>
  </si>
  <si>
    <t>PRD-CMPCELL-CVOL-2-3Y-BIAN</t>
  </si>
  <si>
    <t>PRD-CMPCELL-CVOL-3-3Y-BIAN</t>
  </si>
  <si>
    <t>PRD-CMPCELL-CVOL-4-3Y-BIAN</t>
  </si>
  <si>
    <t>FLEXIBLE VOLUME PLAN</t>
  </si>
  <si>
    <t>LIST PRICE</t>
  </si>
  <si>
    <t>PRD-CMPCELL-FVOL-1-NC</t>
  </si>
  <si>
    <t>PRD-CMPCELL-FVOL-2-NC</t>
  </si>
  <si>
    <t>PRD-CMPCELL-FVOL-3-NC</t>
  </si>
  <si>
    <t>PRD-CMPCELL-FVOL-4-NC</t>
  </si>
  <si>
    <t>BETA &amp; EVALUATION</t>
  </si>
  <si>
    <t>DISCOUNT RATE</t>
  </si>
  <si>
    <t>Beta Bracket Computing Cells</t>
  </si>
  <si>
    <t>CPMCELL-BETA</t>
  </si>
  <si>
    <t>Eval Bracket Computing Cells</t>
  </si>
  <si>
    <t>CPMCELL-EVAL </t>
  </si>
  <si>
    <t>PRODUCT DISCOUNT RATES &amp; PROMOTIONS</t>
  </si>
  <si>
    <t>Volume Discount Rate, Premium Services (Storage, Security)</t>
  </si>
  <si>
    <t>VDR-PRM</t>
  </si>
  <si>
    <t>AQ, Fixed</t>
  </si>
  <si>
    <t>Volume Discount Rate, Standard Services (Compute, Network)</t>
  </si>
  <si>
    <t>VDR-STND</t>
  </si>
  <si>
    <t>Flex Discount Rate, Premium Services</t>
  </si>
  <si>
    <t>FDR-PRM</t>
  </si>
  <si>
    <t>Flex Discount Rate, Standard Services</t>
  </si>
  <si>
    <t>FDR-STND</t>
  </si>
  <si>
    <t>Total Discount Rate, Premium Services</t>
  </si>
  <si>
    <t>TDR-PRM</t>
  </si>
  <si>
    <t>Total Discount Rate, Standard Services</t>
  </si>
  <si>
    <t>TDR-STND</t>
  </si>
  <si>
    <t>Flexible Volume 3Y Expiration Promo</t>
  </si>
  <si>
    <t>PRMO-FVOL-3Y-EXP</t>
  </si>
  <si>
    <t>NA</t>
  </si>
  <si>
    <t>ADDITIONAL PRODUCTS</t>
  </si>
  <si>
    <t>CLOUD HSM, with 1Y SUPPORT</t>
  </si>
  <si>
    <t>PRTN-SEC-CLDHSM-1Y</t>
  </si>
  <si>
    <t>CLOUD HSM, with 3Y SUPPORT</t>
  </si>
  <si>
    <t>PRTN-SEC-CLDHSM-3Y</t>
  </si>
  <si>
    <t>SECURE VPN CONNECTIONS, Per Tunnel, 1 Year</t>
  </si>
  <si>
    <t>PRTN-SEC-VPN-1Y</t>
  </si>
  <si>
    <t>SECURE VPN CONNECTIONS, Per Tunnel,3 Years</t>
  </si>
  <si>
    <t>PRTN-SEC-VPN-3Y</t>
  </si>
  <si>
    <t>Network Bandwidth, Internet Egress, 1 Month; Post-Invoiced</t>
  </si>
  <si>
    <t>PRTN-NET-BDW1-1M</t>
  </si>
  <si>
    <t>AI (AT INVOICE)</t>
  </si>
  <si>
    <t>Network Bandwidth, within Cloud, 1 Month; Post-Invoiced</t>
  </si>
  <si>
    <t>PRTN-NET-BDW2-1M</t>
  </si>
  <si>
    <t>SERVICES: SUPPORT, PRO-SERV &amp; TRAINING</t>
  </si>
  <si>
    <t>PREMIUM ENTERPRISE SUPPORT, BRACKET COMPUTING CELLS</t>
  </si>
  <si>
    <t>SVC-SUPP-PRM-CMPCELL</t>
  </si>
  <si>
    <t>CLOUD ON-BOARDING SERVICE; 1 Hour</t>
  </si>
  <si>
    <t>SVC-CLD-1H</t>
  </si>
  <si>
    <t>CLOUD ON-BOARDING SERVICE; 1 Day</t>
  </si>
  <si>
    <t>SVC-CLD-1D</t>
  </si>
  <si>
    <t>CLOUD ON-BOARDING SERVICE; 1 Week</t>
  </si>
  <si>
    <t>SVC-CLD-1W</t>
  </si>
  <si>
    <t>1-DAY COMPUTING CELL ENTERPRISE TRAINING; ONSITE UPTO 8 STUDENTS</t>
  </si>
  <si>
    <t>SVC-TRNG-1D-CMPCELL</t>
  </si>
  <si>
    <t>COMPUTING CELL TRAINING KIT &amp; MATERIALS</t>
  </si>
  <si>
    <t>SVC-TRNG-1D-KIT-CMPCELL</t>
  </si>
  <si>
    <t>TRANSACTION TYPES &amp; CUSTOMER TYPES</t>
  </si>
  <si>
    <t>TRANSACTION OR CUSTOMER TYPE</t>
  </si>
  <si>
    <t>NEW CUSTOMER</t>
  </si>
  <si>
    <t>TRNS-NEW</t>
  </si>
  <si>
    <t>EXISTING CUSTOMER RENEWAL</t>
  </si>
  <si>
    <t>TRNS-REN</t>
  </si>
  <si>
    <t>EXISTING CUSTOMER, ADDITIONAL DEPOSIT WITHIN TERM</t>
  </si>
  <si>
    <t>TRNS-ADD</t>
  </si>
  <si>
    <t>EXISTING CUSTOMER, BRACKET DEBIT</t>
  </si>
  <si>
    <t>TRNS-DBT</t>
  </si>
  <si>
    <t>EXISTING CUSTOMER, BRACKET CREDIT</t>
  </si>
  <si>
    <t>TRNS-CRD</t>
  </si>
  <si>
    <t>EXISTING CUSTOMER, CANCELATION</t>
  </si>
  <si>
    <t>TRNS-CNC</t>
  </si>
  <si>
    <t>EXISTING CUSTOMER, BRACKET FUNDS EXPIRATION</t>
  </si>
  <si>
    <t>TRNS-EXP</t>
  </si>
  <si>
    <t>BETA CUSTOMER</t>
  </si>
  <si>
    <t>TRNS-BETA</t>
  </si>
  <si>
    <t>BETA CUSTOMER, ADDITIONAL FUNDS ADDED</t>
  </si>
  <si>
    <t>TRNS-BETA-ADD</t>
  </si>
  <si>
    <t>EVAL CUSTOMER</t>
  </si>
  <si>
    <t>TRNS-EVAL</t>
  </si>
  <si>
    <t>EVAL CUSTOMER, ADDITIONAL FUNDS ADDED</t>
  </si>
  <si>
    <t>TRNS-EVAL-ADD</t>
  </si>
  <si>
    <t>BRACKET PAID EVAL CUSTOMER</t>
  </si>
  <si>
    <t>TRNS-BPEVAL</t>
  </si>
  <si>
    <t>BRACKET PAID EVAL CUSTOMER, ADDITIONAL FUNDS ADDED</t>
  </si>
  <si>
    <t>TRNS-BPEVAL-ADD</t>
  </si>
  <si>
    <t>PROSPECT</t>
  </si>
  <si>
    <t>CST-PST</t>
  </si>
  <si>
    <t>CUSTOMER</t>
  </si>
  <si>
    <t>CST</t>
  </si>
  <si>
    <t>FORMER CUSTOMER</t>
  </si>
  <si>
    <t>CST-FMR</t>
  </si>
  <si>
    <t>EXPIRATION TERM</t>
  </si>
  <si>
    <t>TRM-EXP</t>
  </si>
  <si>
    <t>PRICING NOTES &amp; DEFINITIONS</t>
  </si>
  <si>
    <t>COMPUTE</t>
  </si>
  <si>
    <t>LINUX INSTANCES, CENTOS OR UBUNTU</t>
  </si>
  <si>
    <t>SHARED INSTANCES</t>
  </si>
  <si>
    <t>ANY</t>
  </si>
  <si>
    <t>US-EAST</t>
  </si>
  <si>
    <t>STANDARD</t>
  </si>
  <si>
    <t>Compute</t>
  </si>
  <si>
    <t>Medium Instance Type</t>
  </si>
  <si>
    <t>Hourly</t>
  </si>
  <si>
    <t>USD</t>
  </si>
  <si>
    <t>ANY-USE-STND-CMP-MED-LINF-HR-USD</t>
  </si>
  <si>
    <t>Large Instance Type</t>
  </si>
  <si>
    <t>ANY-USE-STND-CMP-L-LINF-HR-USD</t>
  </si>
  <si>
    <t>x Large Instance Type</t>
  </si>
  <si>
    <t>ANY-USE-STND-CMP-XL-LINF-HR-USD</t>
  </si>
  <si>
    <t>2x Large Instance Type</t>
  </si>
  <si>
    <t>ANY-USE-STND-CMP-2XL-LINF-HR-USD</t>
  </si>
  <si>
    <t>Large Instance Type, Gen 2</t>
  </si>
  <si>
    <t>ANY-USE-STND-CMP-L2-LINF-HR-USD</t>
  </si>
  <si>
    <t>4x Large Instance Type</t>
  </si>
  <si>
    <t>ANY-USE-STND-CMP-4XL-LINF-HR-USD</t>
  </si>
  <si>
    <t>High CPU 8x Large Instance Type</t>
  </si>
  <si>
    <t>ANY-USE-STND-CMP-HC8XL2-LINF-HR-USD</t>
  </si>
  <si>
    <t>High Storage 8x Large Instance Type</t>
  </si>
  <si>
    <t>ANY-USE-STND-CMP-HS8XL2-LINF-HR-USD</t>
  </si>
  <si>
    <t>AWS</t>
  </si>
  <si>
    <t>AWS-USE-STND-CMP-MED-LINF-HR-USD</t>
  </si>
  <si>
    <t>AWS-USE-STND-CMP-L-LINF-HR-USD</t>
  </si>
  <si>
    <t>AWS-USE-STND-CMP-XL-LINF-HR-USD</t>
  </si>
  <si>
    <t>AWS-USE-STND-CMP-2XL-LINF-HR-USD</t>
  </si>
  <si>
    <t>AWS-USE-STND-CMP-L-LINFG2-HR-USD</t>
  </si>
  <si>
    <t>AWS-USE-STND-CMP-4XL-LINF-HR-USD</t>
  </si>
  <si>
    <t>AWS-USE-STND-CMP-HC8XL2-LINF-HR-USD</t>
  </si>
  <si>
    <t>AWS-USE-STND-CMP-HS8XL2-LINF-HR-USD</t>
  </si>
  <si>
    <t>LINUX INSTANCES, REDHAT</t>
  </si>
  <si>
    <t>ANY-USE-STND-CMP-MED-RHEL-HR-USD</t>
  </si>
  <si>
    <t>ANY-USE-STND-CMP-L-RHEL-HR-USD</t>
  </si>
  <si>
    <t>ANY-USE-STND-CMP-XL-RHEL-HR-USD</t>
  </si>
  <si>
    <t>ANY-USE-STND-CMP-2XL-RHEL-HR-USD</t>
  </si>
  <si>
    <t>ANY-USE-STND-CMP-L2-RHEL-HR-USD</t>
  </si>
  <si>
    <t>ANY-USE-STND-CMP-4XL-RHEL-HR-USD</t>
  </si>
  <si>
    <t>ANY-USE-STND-CMP-HC8XL2-RHEL-HR-USD</t>
  </si>
  <si>
    <t>ANY-USE-STND-CMP-HS8XL2-RHEL-HR-USD</t>
  </si>
  <si>
    <t>AWS-USE-STND-CMP-MED-RHEL-HR-USD</t>
  </si>
  <si>
    <t>AWS-USE-STND-CMP-L-RHEL-HR-USD</t>
  </si>
  <si>
    <t>AWS-USE-STND-CMP-XL-RHEL-HR-USD</t>
  </si>
  <si>
    <t>AWS-USE-STND-CMP-2XL-RHEL-HR-USD</t>
  </si>
  <si>
    <t>AWS-USE-STND-CMP-L-RHELG2-HR-USD</t>
  </si>
  <si>
    <t>AWS-USE-STND-CMP-4XL-RHEL-HR-USD</t>
  </si>
  <si>
    <t>AWS-USE-STND-CMP-HC8XL2-RHEL-HR-USD</t>
  </si>
  <si>
    <t>AWS-USE-STND-CMP-HS8XL2-RHEL-HR-USD</t>
  </si>
  <si>
    <t>WINDOWS INSTANCES</t>
  </si>
  <si>
    <t>ANY-USE-STND-CMP-MED-WIN-HR-USD</t>
  </si>
  <si>
    <t>ANY-USE-STND-CMP-L-WIN-HR-USD</t>
  </si>
  <si>
    <t>ANY-USE-STND-CMP-XL-WIN-HR-USD</t>
  </si>
  <si>
    <t>ANY-USE-STND-CMP-2XL-WIN-HR-USD</t>
  </si>
  <si>
    <t>ANY-USE-STND-CMP-L2-WIN-HR-USD</t>
  </si>
  <si>
    <t>ANY-USE-STND-CMP-4XL-WIN-HR-USD</t>
  </si>
  <si>
    <t>ANY-USE-STND-CMP-HC8XL2-WIN-HR-USD</t>
  </si>
  <si>
    <t>ANY-USE-STND-CMP-HS8XL2-WIN-HR-USD</t>
  </si>
  <si>
    <t>AWS-USE-STND-CMP-MED-WIN-HR-USD</t>
  </si>
  <si>
    <t>AWS-USE-STND-CMP-L-WIN-HR-USD</t>
  </si>
  <si>
    <t>AWS-USE-STND-CMP-XL-WIN-HR-USD</t>
  </si>
  <si>
    <t>AWS-USE-STND-CMP-2XL-WIN-HR-USD</t>
  </si>
  <si>
    <t>AWS-USE-STND-CMP-L-WING2-HR-USD</t>
  </si>
  <si>
    <t>AWS-USE-STND-CMP-4XL-WIN-HR-USD</t>
  </si>
  <si>
    <t>AWS-USE-STND-CMP-HC8XL2-WIN-HR-USD</t>
  </si>
  <si>
    <t>AWS-USE-STND-CMP-HS8XL2-WIN-HR-USD</t>
  </si>
  <si>
    <t>WINDOWS INSTANCES WITH SQL SERVER</t>
  </si>
  <si>
    <t>ANY-USE-STND-CMP-MED-WINSQL-HR-USD</t>
  </si>
  <si>
    <t>ANY-USE-STND-CMP-L-WINSQL-HR-USD</t>
  </si>
  <si>
    <t>ANY-USE-STND-CMP-XL-WINSQL-HR-USD</t>
  </si>
  <si>
    <t>ANY-USE-STND-CMP-2XL-WINSQL-HR-USD</t>
  </si>
  <si>
    <t>ANY-USE-STND-CMP-L2-WINSQL-HR-USD</t>
  </si>
  <si>
    <t>ANY-USE-STND-CMP-4XL-WINSQL-HR-USD</t>
  </si>
  <si>
    <t>ANY-USE-STND-CMP-HC8XL2-WINSQL-HR-USD</t>
  </si>
  <si>
    <t>ANY-USE-STND-CMP-HS8XL2-WINSQL-HR-USD</t>
  </si>
  <si>
    <t>AWS-USE-STND-CMP-MED-WINSQL-HR-USD</t>
  </si>
  <si>
    <t>AWS-USE-STND-CMP-L-WINSQL-HR-USD</t>
  </si>
  <si>
    <t>AWS-USE-STND-CMP-XL-WINSQL-HR-USD</t>
  </si>
  <si>
    <t>AWS-USE-STND-CMP-2XL-WINSQL-HR-USD</t>
  </si>
  <si>
    <t>AWS-USE-STND-CMP-L-WINSQLG2-HR-USD</t>
  </si>
  <si>
    <t>AWS-USE-STND-CMP-4XL-WINSQL-HR-USD</t>
  </si>
  <si>
    <t>AWS-USE-STND-CMP-HC8XL2-WINSQL-HR-USD</t>
  </si>
  <si>
    <t>AWS-USE-STND-CMP-HS8XL2-WINSQL-HR-USD</t>
  </si>
  <si>
    <t>STORAGE</t>
  </si>
  <si>
    <t>US-East</t>
  </si>
  <si>
    <t>PREMIUM</t>
  </si>
  <si>
    <t>Storage</t>
  </si>
  <si>
    <t>Block storage capacity</t>
  </si>
  <si>
    <t>Per GB/Per Month</t>
  </si>
  <si>
    <t>ANY-USE-PRM-STRG-CAP-PGBMO-USD</t>
  </si>
  <si>
    <t>IOPS</t>
  </si>
  <si>
    <t>Per IOPS-Month</t>
  </si>
  <si>
    <t>ANY-USE-PRM-STRG-IOPS-IOM-USD</t>
  </si>
  <si>
    <t>Snapshots</t>
  </si>
  <si>
    <t>ANY-USE-PRM-STRG-SNP-PGBMO-USD</t>
  </si>
  <si>
    <t>TIER 0 Response Time Tier</t>
  </si>
  <si>
    <t>Percentage OF</t>
  </si>
  <si>
    <t>ANY-USE-PRM-STRG-T0RT-PCT-USD</t>
  </si>
  <si>
    <t>TIER 1 Response Time Tier</t>
  </si>
  <si>
    <t>ANY-USE-PRM-STRG-T1RT-PCT-USD</t>
  </si>
  <si>
    <t>TIER 2 Response Time Tier</t>
  </si>
  <si>
    <t>ANY-USE-PRM-STRG-T2RT-PCT-USD</t>
  </si>
  <si>
    <t>AWS-USE-PRM-STRG-CAP-PGBMO-USD</t>
  </si>
  <si>
    <t>AWS-USE-PRM-STRG-IOPS-IOM-USD</t>
  </si>
  <si>
    <t>AWS-USE-PRM-STRG-SNP-PGBMO-USD</t>
  </si>
  <si>
    <t>AWS-USE-PRM-STRG-T0RT-PCT-USD</t>
  </si>
  <si>
    <t>AWS-USE-PRM-STRG-T1RT-PCT-USD</t>
  </si>
  <si>
    <t>AWS-USE-PRM-STRG-T2RT-PCT-USD</t>
  </si>
  <si>
    <t>SECURITY</t>
  </si>
  <si>
    <t>Data-at-rest Encryption</t>
  </si>
  <si>
    <t>ANY-USE-PRM-SEC-DCRPYT-PCT-USD</t>
  </si>
  <si>
    <t>Instant Rekey</t>
  </si>
  <si>
    <t>$/GB</t>
  </si>
  <si>
    <t>ANY-USE-PRM-SEC-INSRKY-PGB-USD</t>
  </si>
  <si>
    <t>AWS-USE-PRM-SEC-DCRPYT-PCT-USD</t>
  </si>
  <si>
    <t>AWS-USE-PRM-SEC-INSRKY-PGB-USD</t>
  </si>
  <si>
    <t>NETWORK</t>
  </si>
  <si>
    <t>Public IP Addresses; IPv4</t>
  </si>
  <si>
    <t>$/Hr</t>
  </si>
  <si>
    <t>ANY-USE-STND-NET-PIP4-HR-USD</t>
  </si>
  <si>
    <t>Data Transfer In</t>
  </si>
  <si>
    <t>Per GB</t>
  </si>
  <si>
    <t>ANY-USE-PRM-STRG-DTI-PGB-USD</t>
  </si>
  <si>
    <t>Data Transfer Out</t>
  </si>
  <si>
    <t>ANY-USE-PRM-STRG-DTO-PGB-USD</t>
  </si>
  <si>
    <t>AWS-USE-STND-NET-PIP4-HR-USD</t>
  </si>
  <si>
    <t>AWS-USE-PRM-STRG-DTI-PGB-USD</t>
  </si>
  <si>
    <t>AWS-USE-PRM-STRG-DTO-PGB-USD</t>
  </si>
  <si>
    <t>DOLLAR RANGE</t>
  </si>
  <si>
    <t>COMMITTED VOLUME PLAN 3Y, PAID BI-ANNUALLY</t>
  </si>
  <si>
    <t>COMMITTED VOLUME PLAN 1Y, PAID BI-ANNUALLY</t>
  </si>
  <si>
    <t>COMMITTED VOLUME PLAN 3Y, PAID UPFRONT</t>
  </si>
  <si>
    <t>COMMITTED VOLUME PLAN 1Y, PAID UPFRONT</t>
  </si>
  <si>
    <t>$50K-$249K</t>
  </si>
  <si>
    <t>$250K-$499K</t>
  </si>
  <si>
    <t>$500K-$999K</t>
  </si>
  <si>
    <t>$1M+</t>
  </si>
  <si>
    <t>CALCULATOR DETAILS</t>
  </si>
  <si>
    <t>Notes</t>
  </si>
  <si>
    <t>This worksheet performs all the detailed calculations that power the main Calculator results. This worksheet needs to remain hidden.</t>
  </si>
  <si>
    <t>NOTE: Do not modify these values. The values in the table below get pulled in from the Pricebook.</t>
  </si>
  <si>
    <t>Instance Types input list</t>
  </si>
  <si>
    <t>Price per hour</t>
  </si>
  <si>
    <t>Details</t>
  </si>
  <si>
    <t>Price per hour (Windows)</t>
  </si>
  <si>
    <t>Price per hour (Windows with SQL Server)</t>
  </si>
  <si>
    <t>Price per hour (RHEL)</t>
  </si>
  <si>
    <t>1 vCPU, 3.75 GB RAM (approx)</t>
  </si>
  <si>
    <t>2 vCPU, 7.5 GB RAM (approx)</t>
  </si>
  <si>
    <t>4 vCPU, 15 GB RAM (approx)</t>
  </si>
  <si>
    <t>8 vCPU, 30 GB RAM (approx)</t>
  </si>
  <si>
    <t>2 vCPU, 3.75 GB RAM (approx)</t>
  </si>
  <si>
    <t>16 vCPU, 30 GB RAM (approx)</t>
  </si>
  <si>
    <t>32 vCPU, 60 GB RAM (approx)</t>
  </si>
  <si>
    <t>16 vCPU, 117 GB RAM (approx)</t>
  </si>
  <si>
    <t>Response time tier</t>
  </si>
  <si>
    <t>Percent</t>
  </si>
  <si>
    <t>Encryption</t>
  </si>
  <si>
    <t>COMPUTE PRICE CALCULATION</t>
  </si>
  <si>
    <t>Operating System</t>
  </si>
  <si>
    <t>Column</t>
  </si>
  <si>
    <t>CentOS or Ubuntu</t>
  </si>
  <si>
    <t>RedHat</t>
  </si>
  <si>
    <t>Windows Server</t>
  </si>
  <si>
    <t>Windows with SQL Server</t>
  </si>
  <si>
    <t>Column to be looked up for compute prices</t>
  </si>
  <si>
    <t>Compute hourly price for instance type 1</t>
  </si>
  <si>
    <t>Compute hourly price for instance type 2</t>
  </si>
  <si>
    <t>Compute hourly price for instance type 3</t>
  </si>
  <si>
    <t>Compute hourly price for instance type 4</t>
  </si>
  <si>
    <t>Compute hourly price for instance type 5</t>
  </si>
  <si>
    <t>Standard enterprise support rate</t>
  </si>
  <si>
    <t>Enterprise support rate after discount</t>
  </si>
  <si>
    <t>Term Variable</t>
  </si>
  <si>
    <t>Linear Growth</t>
  </si>
  <si>
    <t>Term Variable IOPS</t>
  </si>
  <si>
    <t>No Growth</t>
  </si>
  <si>
    <t>Non-Linear Growth</t>
  </si>
  <si>
    <t>Growth</t>
  </si>
  <si>
    <t>Growth every month</t>
  </si>
  <si>
    <t>Growth boolean</t>
  </si>
  <si>
    <t>Linear growth: Storage capacity</t>
  </si>
  <si>
    <t>Linear growth: IOPS</t>
  </si>
  <si>
    <t>Exponential growth: Storage capacity</t>
  </si>
  <si>
    <t>Variable</t>
  </si>
  <si>
    <t>Exponential growth: IOPS</t>
  </si>
  <si>
    <t>Variable to enforce the term</t>
  </si>
  <si>
    <t>End of month</t>
  </si>
  <si>
    <t>Storage + IOPS</t>
  </si>
  <si>
    <t>Storage price for the month</t>
  </si>
  <si>
    <t>IOPS price for the month</t>
  </si>
  <si>
    <t>Response time price for the month</t>
  </si>
  <si>
    <t>Encryption price for the month</t>
  </si>
  <si>
    <t>Active rate</t>
  </si>
  <si>
    <t>Year 1</t>
  </si>
  <si>
    <t>Year 2</t>
  </si>
  <si>
    <t>Year 3</t>
  </si>
  <si>
    <t>Average storage for the year</t>
  </si>
  <si>
    <t>Average IOPS for the year</t>
  </si>
  <si>
    <t>Storage price for the year</t>
  </si>
  <si>
    <t>IOPS price for the year</t>
  </si>
  <si>
    <t>Response time price for the year</t>
  </si>
  <si>
    <t>Encryption price for the year</t>
  </si>
  <si>
    <t>Total (active) storage</t>
  </si>
  <si>
    <t>Passive storage price</t>
  </si>
  <si>
    <t>Passive storage encryption</t>
  </si>
  <si>
    <t>Total (passive) storage</t>
  </si>
  <si>
    <t>Snapshots price</t>
  </si>
  <si>
    <t>Snapshot encryption</t>
  </si>
  <si>
    <t>Total snapshots</t>
  </si>
  <si>
    <t>Total storage and security price</t>
  </si>
  <si>
    <t>Strorage price =</t>
  </si>
  <si>
    <t>Storage capacity *</t>
  </si>
  <si>
    <t>Price per GB per month *</t>
  </si>
  <si>
    <t>(1-storage discount) *</t>
  </si>
  <si>
    <t>Active rate *</t>
  </si>
  <si>
    <t>Term (number of months)</t>
  </si>
  <si>
    <t>IOPS price =</t>
  </si>
  <si>
    <t>IOPS *</t>
  </si>
  <si>
    <t>Price per IOPS-Month *</t>
  </si>
  <si>
    <t>Response time price =</t>
  </si>
  <si>
    <t>(Storage price +</t>
  </si>
  <si>
    <t>IOPS price) *</t>
  </si>
  <si>
    <t>Response time tier percent</t>
  </si>
  <si>
    <t>Encryption price =</t>
  </si>
  <si>
    <t>IOPS price +</t>
  </si>
  <si>
    <t>Response time price) *</t>
  </si>
  <si>
    <t>Encryption adder</t>
  </si>
  <si>
    <t>Passive storage price =</t>
  </si>
  <si>
    <t>(1-Active rate) *</t>
  </si>
  <si>
    <t>   Passive storage encryption price</t>
  </si>
  <si>
    <t>  Passive storage price *</t>
  </si>
  <si>
    <t>Snapshots price =</t>
  </si>
  <si>
    <t>Active rate=50% *</t>
  </si>
  <si>
    <t>   Snapshots encryption price</t>
  </si>
  <si>
    <t>  Snapshot price *</t>
  </si>
  <si>
    <t>Quotable and Invoice-able items</t>
  </si>
  <si>
    <t>Volume Discount Part I</t>
  </si>
  <si>
    <t>Band</t>
  </si>
  <si>
    <t>Upper limit</t>
  </si>
  <si>
    <t>Volume Discount Part II</t>
  </si>
  <si>
    <t>-</t>
  </si>
  <si>
    <t>Volume Discount Part II for this customer</t>
  </si>
  <si>
    <t>Does the customer fall in the same Band in all 3 years?</t>
  </si>
  <si>
    <t>Max discount limits for sales reps</t>
  </si>
  <si>
    <t>Storage discount (sales rep) max limit</t>
  </si>
  <si>
    <t>Compute discount (sales rep) max limit</t>
  </si>
  <si>
    <t>What you need to know before you build the quote in the Quoting Tool</t>
  </si>
  <si>
    <t>Based on this volume quote…</t>
  </si>
  <si>
    <t>… if the customer chooses…</t>
  </si>
  <si>
    <t>… the customer will be eligible for the following volume discount.</t>
  </si>
  <si>
    <t>In addition, you are giving the following Storage discount…</t>
  </si>
  <si>
    <t>… and the following Compute discount.</t>
  </si>
  <si>
    <t>NOTE:</t>
  </si>
  <si>
    <t>BRACKET COMPUTING ESTIMATE CALCULATOR</t>
  </si>
  <si>
    <t>ESTIMATES</t>
  </si>
  <si>
    <t>3 Year Estimate</t>
  </si>
  <si>
    <t>1. Input</t>
  </si>
  <si>
    <t>Go to Section A, and fill out the infrastructure requirements</t>
  </si>
  <si>
    <t>Go to Section B, and fill out the discount rates</t>
  </si>
  <si>
    <t>Security</t>
  </si>
  <si>
    <t>2.. Output</t>
  </si>
  <si>
    <t>Volume Quote - Estimate</t>
  </si>
  <si>
    <t>View the yearly quotes --&gt;</t>
  </si>
  <si>
    <t>Enterprise Support</t>
  </si>
  <si>
    <t>3. Next steps</t>
  </si>
  <si>
    <t>Total Estimate</t>
  </si>
  <si>
    <t>Go to the worksheet "Estimate Form". Print or save as PDF, for sharing with customer.</t>
  </si>
  <si>
    <t>Section A: SALES Input - Infrastructure Requirements</t>
  </si>
  <si>
    <t>Storage: Capacity</t>
  </si>
  <si>
    <t>NO GROWTH</t>
  </si>
  <si>
    <t>LINEAR GROWTH</t>
  </si>
  <si>
    <t>non-linear GROWTH</t>
  </si>
  <si>
    <t>CONCATENATE</t>
  </si>
  <si>
    <t>How much storage capacity does the application need</t>
  </si>
  <si>
    <t>GB</t>
  </si>
  <si>
    <t>Would you like to account for growth in storage capacity you need over time</t>
  </si>
  <si>
    <t>      Select "No Growth" if capacity remains constant, select "Linear Growth" if it grows linearly, and select "Non-Linear Growth" if it grows in a non-linear fashion</t>
  </si>
  <si>
    <t>If the storage capacity grows over time, select the duration over which it grows</t>
  </si>
  <si>
    <t>Storage: IOPS</t>
  </si>
  <si>
    <t>How many IOPS (input/output operations per second) does the application need</t>
  </si>
  <si>
    <t>Would you like to account for growth in IOPS you need over time</t>
  </si>
  <si>
    <t>Select "No Growth", "Linear Growth" or , "Non-Linear Growth"</t>
  </si>
  <si>
    <t>Storage: Response time and more</t>
  </si>
  <si>
    <t>What response time tier do you choose for the application</t>
  </si>
  <si>
    <t>TIER 0, 1 or 2.    0 = fastest response time, and highest price. 2 = slowest response time, and lowest price.</t>
  </si>
  <si>
    <t>What percent of time will the application need access to compute and storage</t>
  </si>
  <si>
    <t>Recommended default = 100%. If you enter less than 100%, make sure you reconfirm with the customer that the application will be completely switched off the rest of the time.</t>
  </si>
  <si>
    <t>How much add'l capacity do you need for snapshots (as % of your storage capacity)</t>
  </si>
  <si>
    <t>Recommended default = 50%</t>
  </si>
  <si>
    <t>What Operating System does the customer need?</t>
  </si>
  <si>
    <t>Compute: Instance Type 1</t>
  </si>
  <si>
    <t>What type of instance does the application need</t>
  </si>
  <si>
    <t>TIP: Scroll to the right to see the details (vCPU and RAM) for each instance type</t>
  </si>
  <si>
    <t>Instance Type - Description</t>
  </si>
  <si>
    <t>How many instances does the application need</t>
  </si>
  <si>
    <t>Compute: Instance Type 2</t>
  </si>
  <si>
    <t>Compute: Instance Type 3</t>
  </si>
  <si>
    <t>Compute: Instance Type 4</t>
  </si>
  <si>
    <t>Compute: Instance Type 5</t>
  </si>
  <si>
    <t>OTHER (NETWORK etc.)</t>
  </si>
  <si>
    <t>Other Infrastructure Elements (Not available in the first release; but customers could use compute instances with associated software to address these use cases, e.g., HAProxy for load balancing)</t>
  </si>
  <si>
    <t>Select the type of load balancer needed for this application</t>
  </si>
  <si>
    <t>How many load balancers are needed</t>
  </si>
  <si>
    <t>Select the type of FW+IPS needed for this application</t>
  </si>
  <si>
    <t>How many load FW+IPS instances are needed</t>
  </si>
  <si>
    <t>Section B: SALES Input - Discount Rates &amp; Enterprise Support</t>
  </si>
  <si>
    <t>Total storage discount for this customer (including volume discount)</t>
  </si>
  <si>
    <t>Max discount = 45%</t>
  </si>
  <si>
    <t>Total compute discount for this customer (including volume discount)</t>
  </si>
  <si>
    <t>Max discount = 35%</t>
  </si>
  <si>
    <t>Enterprise support discount</t>
  </si>
  <si>
    <t>Max discount = 25%</t>
  </si>
  <si>
    <t>Detailed price calculations</t>
  </si>
  <si>
    <t>Type</t>
  </si>
  <si>
    <t>Price/hour</t>
  </si>
  <si>
    <t>Net Compute Discount</t>
  </si>
  <si>
    <t>Qty</t>
  </si>
  <si>
    <t>Total Price/hour</t>
  </si>
  <si>
    <t>Price for year 1</t>
  </si>
  <si>
    <t>Price for year 2</t>
  </si>
  <si>
    <t>Price for year 3</t>
  </si>
  <si>
    <t>TOTAL COMPUTE PRICE</t>
  </si>
  <si>
    <t>Raw Comparison (Storage)</t>
  </si>
  <si>
    <t>STORAGE &amp; SECURITY</t>
  </si>
  <si>
    <t>On-prem array</t>
  </si>
  <si>
    <t>Brkt storage </t>
  </si>
  <si>
    <t>Price</t>
  </si>
  <si>
    <t>Net Storage Discount</t>
  </si>
  <si>
    <t>Total Price/Month</t>
  </si>
  <si>
    <t>Yearly price</t>
  </si>
  <si>
    <t>Block Storage Capacity: Active          (priced Per GB Per Month)</t>
  </si>
  <si>
    <t>IOPS                                                         (priced Per IOPS-Month)</t>
  </si>
  <si>
    <t>Not applicable</t>
  </si>
  <si>
    <t>Data-At-Rest Encryption                       (priced on % of Storage)</t>
  </si>
  <si>
    <t>Total for (Active) Storage</t>
  </si>
  <si>
    <t>Block Storage Capacity: Passive         (priced Per GB Per Month)</t>
  </si>
  <si>
    <t>Total for (Passive) Storage</t>
  </si>
  <si>
    <t>Snapshots                                               (priced Per GB Per Month)</t>
  </si>
  <si>
    <t>Price for Snapshot Encryption              (priced on % of Storage)</t>
  </si>
  <si>
    <t>Total for Snapshots</t>
  </si>
  <si>
    <t>Total storage price</t>
  </si>
  <si>
    <t>Total security price</t>
  </si>
  <si>
    <t>TOTAL STORAGE + SECURITY PRICE</t>
  </si>
  <si>
    <t>TOTAL SOFTWARE INFRASTRUCTURE PRICE</t>
  </si>
  <si>
    <t>Enterprise support rate</t>
  </si>
  <si>
    <t>ENTERPRISE SUPPORT PRICE</t>
  </si>
  <si>
    <t>Volume Quote  - Yearly</t>
  </si>
  <si>
    <t>Volume Quote - 3 Years</t>
  </si>
  <si>
    <t>Pricing Estimate</t>
  </si>
  <si>
    <t>Prepared By:</t>
  </si>
  <si>
    <t>Prepared For:</t>
  </si>
  <si>
    <t>Bill Lindsey</t>
  </si>
  <si>
    <t>Big L</t>
  </si>
  <si>
    <t>StreetSmart Enterprises</t>
  </si>
  <si>
    <t>310-867-1412</t>
  </si>
  <si>
    <t>Computer graphics application estimate</t>
  </si>
  <si>
    <t>Estimate</t>
  </si>
  <si>
    <t>Total 3 Year Estimate</t>
  </si>
  <si>
    <t>This Pricing Estimate is non-binding and provided for planning purposes only.  It is based upon workload assumptions below and Bracket's current list prices, both of which are subject to change. </t>
  </si>
  <si>
    <t>Metered charges (e.g., bandwidth) are not included and will be invoiced monthly in arrears.</t>
  </si>
  <si>
    <t>Workload assumptions:</t>
  </si>
  <si>
    <t>Storage Capacity</t>
  </si>
  <si>
    <t>Response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</si>
</sst>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5">
    <numFmt numFmtId="164" formatCode="&quot;$&quot;#,##0 ;&quot;$&quot;(#,##0)"/>
    <numFmt numFmtId="165" formatCode="&quot;$&quot;#,##0.000"/>
    <numFmt numFmtId="166" formatCode="&quot;$&quot;#,##0.00"/>
    <numFmt numFmtId="167" formatCode="&quot;$&quot;#,##0"/>
    <numFmt numFmtId="168" formatCode="&quot;$&quot;#,##0.00000 ;&quot;$&quot;(#,##0.00000)"/>
    <numFmt numFmtId="169" formatCode="&quot;$&quot;#,##0.00"/>
    <numFmt numFmtId="170" formatCode="&quot;$&quot;#,##0"/>
    <numFmt numFmtId="171" formatCode="0.0%"/>
    <numFmt numFmtId="172" formatCode="&quot;$&quot;#,##0.00"/>
    <numFmt numFmtId="173" formatCode="&quot;$&quot;#,##0.00"/>
    <numFmt numFmtId="174" formatCode="&quot;$&quot;#,##0.00"/>
    <numFmt numFmtId="175" formatCode="0.0%"/>
    <numFmt numFmtId="176" formatCode="&quot;$&quot;#,##0.000"/>
    <numFmt numFmtId="177" formatCode="&quot;$&quot;#,##0.00"/>
    <numFmt numFmtId="178" formatCode="&quot;$&quot;#,##0.00"/>
    <numFmt numFmtId="179" formatCode="&quot;$&quot;#,##0.00"/>
    <numFmt numFmtId="180" formatCode="&quot;$&quot;#,##0.00"/>
    <numFmt numFmtId="181" formatCode="&quot;$&quot;#,##0.00"/>
    <numFmt numFmtId="182" formatCode="&quot;$&quot;#,##0 ;&quot;$&quot;(#,##0)"/>
    <numFmt numFmtId="183" formatCode="&quot;$&quot;#,##0.00"/>
    <numFmt numFmtId="184" formatCode="&quot;$&quot;#,##0.00"/>
    <numFmt numFmtId="185" formatCode="&quot;$&quot;#,##0.00000 ;&quot;$&quot;(#,##0.00000)"/>
    <numFmt numFmtId="186" formatCode="&quot;$&quot;#,##0.00"/>
    <numFmt numFmtId="187" formatCode="&quot;$&quot;#,##0.00"/>
    <numFmt numFmtId="188" formatCode="&quot;$&quot;#,##0.00"/>
    <numFmt numFmtId="189" formatCode="&quot;$&quot;#,##0.00"/>
    <numFmt numFmtId="190" formatCode="&quot;$&quot;#,##0"/>
    <numFmt numFmtId="191" formatCode="&quot;$&quot;#,##0.00"/>
    <numFmt numFmtId="192" formatCode="&quot;$&quot;#,##0.00"/>
    <numFmt numFmtId="193" formatCode="&quot;$&quot;#,##0.000"/>
    <numFmt numFmtId="194" formatCode="&quot;$&quot;#,##0"/>
    <numFmt numFmtId="195" formatCode="&quot;$&quot;#,##0.00"/>
    <numFmt numFmtId="196" formatCode="&quot;$&quot;#,##0.00 ;&quot;$&quot;(#,##0.00)"/>
    <numFmt numFmtId="197" formatCode="&quot;$&quot;#,##0.00"/>
    <numFmt numFmtId="198" formatCode="&quot;$&quot;#,##0.000"/>
    <numFmt numFmtId="199" formatCode="&quot;$&quot;#,##0.00 ;&quot;$&quot;(#,##0.00)"/>
    <numFmt numFmtId="200" formatCode="&quot;$&quot;#,##0.00"/>
    <numFmt numFmtId="201" formatCode="&quot;$&quot;#,##0"/>
    <numFmt numFmtId="202" formatCode="&quot;$&quot;#,##0.00"/>
    <numFmt numFmtId="203" formatCode="&quot;$&quot;#,##0.00"/>
    <numFmt numFmtId="204" formatCode="&quot;$&quot;#,##0 ;&quot;$&quot;(#,##0)"/>
    <numFmt numFmtId="205" formatCode="&quot;$&quot;#,##0.00"/>
    <numFmt numFmtId="206" formatCode="&quot;$&quot;#,##0.000"/>
    <numFmt numFmtId="207" formatCode="&quot;$&quot;#,##0.00"/>
    <numFmt numFmtId="208" formatCode="&quot;$&quot;#,##0.00 ;&quot;$&quot;(#,##0.00)"/>
    <numFmt numFmtId="209" formatCode="&quot;$&quot;#,##0.00"/>
    <numFmt numFmtId="210" formatCode="&quot;$&quot;#,##0.00"/>
    <numFmt numFmtId="211" formatCode="&quot;$&quot;#,##0"/>
    <numFmt numFmtId="212" formatCode="&quot;$&quot;#,##0"/>
    <numFmt numFmtId="213" formatCode="&quot;$&quot;#,##0"/>
    <numFmt numFmtId="214" formatCode="&quot;$&quot;#,##0.00"/>
    <numFmt numFmtId="215" formatCode="&quot;$&quot;#,##0.00"/>
    <numFmt numFmtId="216" formatCode="&quot;$&quot;#,##0"/>
    <numFmt numFmtId="217" formatCode="&quot;$&quot;#,##0"/>
    <numFmt numFmtId="218" formatCode="&quot;$&quot;#,##0.00000"/>
    <numFmt numFmtId="219" formatCode="&quot;$&quot;#,##0.00"/>
    <numFmt numFmtId="220" formatCode="&quot;$&quot;#,##0.000"/>
    <numFmt numFmtId="221" formatCode="&quot;$&quot;#,##0.00"/>
    <numFmt numFmtId="222" formatCode="&quot;$&quot;#,##0.00"/>
    <numFmt numFmtId="223" formatCode="&quot;$&quot;#,##0.00"/>
    <numFmt numFmtId="224" formatCode="&quot;$&quot;#,##0.00"/>
    <numFmt numFmtId="225" formatCode="&quot;$&quot;#,##0"/>
    <numFmt numFmtId="226" formatCode="&quot;$&quot;#,##0.00 ;&quot;$&quot;(#,##0.00)"/>
    <numFmt numFmtId="227" formatCode="&quot;$&quot;#,##0"/>
    <numFmt numFmtId="228" formatCode="&quot;$&quot;#,##0"/>
    <numFmt numFmtId="229" formatCode="&quot;$&quot;#,##0.00"/>
    <numFmt numFmtId="230" formatCode="&quot;$&quot;#,##0"/>
    <numFmt numFmtId="231" formatCode="&quot;$&quot;#,##0"/>
    <numFmt numFmtId="232" formatCode="&quot;$&quot;#,##0.00"/>
    <numFmt numFmtId="233" formatCode="&quot;$&quot;#,##0.00"/>
    <numFmt numFmtId="234" formatCode="&quot;$&quot;#,##0.00"/>
    <numFmt numFmtId="235" formatCode="&quot;$&quot;#,##0"/>
    <numFmt numFmtId="236" formatCode="&quot;$&quot;#,##0"/>
    <numFmt numFmtId="237" formatCode="&quot;$&quot;#,##0.00"/>
    <numFmt numFmtId="238" formatCode="&quot;$&quot;#,##0.00"/>
    <numFmt numFmtId="239" formatCode="0.0%"/>
    <numFmt numFmtId="240" formatCode="&quot;$&quot;#,##0.00"/>
    <numFmt numFmtId="241" formatCode="&quot;$&quot;#,##0.00"/>
    <numFmt numFmtId="242" formatCode="&quot;$&quot;#,##0.00"/>
    <numFmt numFmtId="243" formatCode="&quot;$&quot;#,##0"/>
    <numFmt numFmtId="244" formatCode="&quot;$&quot;#,##0.00"/>
    <numFmt numFmtId="245" formatCode="&quot;$&quot;#,##0"/>
    <numFmt numFmtId="246" formatCode="&quot;$&quot;#,##0.00"/>
    <numFmt numFmtId="247" formatCode="&quot;$&quot;#,##0"/>
    <numFmt numFmtId="248" formatCode="&quot;$&quot;#,##0.00"/>
  </numFmts>
  <fonts count="4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A5A5A5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 val="0"/>
      <i/>
      <strike val="0"/>
      <u val="none"/>
      <sz val="12.0"/>
      <color rgb="FFA5A5A5"/>
      <name val="Century gothic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6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4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0.0"/>
      <color rgb="FF000000"/>
      <name val="Univers lt std 45 light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Century gothic"/>
    </font>
    <font>
      <b/>
      <i val="0"/>
      <strike val="0"/>
      <u/>
      <sz val="12.0"/>
      <color rgb="FF000000"/>
      <name val="Century gothic"/>
    </font>
    <font>
      <b/>
      <i val="0"/>
      <strike val="0"/>
      <u val="none"/>
      <sz val="12.0"/>
      <color rgb="FF262626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FF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entury gothic"/>
    </font>
    <font>
      <b val="0"/>
      <i/>
      <strike val="0"/>
      <u val="none"/>
      <sz val="11.0"/>
      <color rgb="FF008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8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FF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8.0"/>
      <color rgb="FF000000"/>
      <name val="Century gothic"/>
    </font>
    <font>
      <b/>
      <i val="0"/>
      <strike val="0"/>
      <u val="none"/>
      <sz val="16.0"/>
      <color rgb="FF000000"/>
      <name val="Univers lt std 45 light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Univers lt std 45 light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262626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Univers lt std 45 light"/>
    </font>
    <font>
      <b/>
      <i val="0"/>
      <strike val="0"/>
      <u val="none"/>
      <sz val="12.0"/>
      <color rgb="FFFFFFFF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/>
      <i val="0"/>
      <strike val="0"/>
      <u val="none"/>
      <sz val="11.0"/>
      <color rgb="FF008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6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/>
      <i val="0"/>
      <strike val="0"/>
      <u val="none"/>
      <sz val="11.0"/>
      <color rgb="FF000000"/>
      <name val="Arial"/>
    </font>
    <font>
      <b/>
      <i val="0"/>
      <strike val="0"/>
      <u/>
      <sz val="16.0"/>
      <color rgb="FF0000FF"/>
      <name val="Univers lt std 45 light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4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6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8.0"/>
      <color rgb="FF000000"/>
      <name val="Century gothic"/>
    </font>
    <font>
      <b/>
      <i val="0"/>
      <strike val="0"/>
      <u val="none"/>
      <sz val="14.0"/>
      <color rgb="FFFFFFFF"/>
      <name val="Century gothic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3366FF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FFFFFF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FFFFFF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Century gothic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8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8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/>
      <sz val="11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/>
      <sz val="16.0"/>
      <color rgb="FF0000FF"/>
      <name val="Univers lt std 45 light"/>
    </font>
    <font>
      <b val="0"/>
      <i val="0"/>
      <strike val="0"/>
      <u val="none"/>
      <sz val="12.0"/>
      <color rgb="FFA5A5A5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4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/>
      <i val="0"/>
      <strike val="0"/>
      <u val="none"/>
      <sz val="14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4.0"/>
      <color rgb="FFFFFFFF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0.0"/>
      <color rgb="FF000000"/>
      <name val="Univers lt std 45 light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/>
      <strike val="0"/>
      <u val="none"/>
      <sz val="12.0"/>
      <color rgb="FFA5A5A5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6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8.0"/>
      <color rgb="FF000000"/>
      <name val="Univers lt std 45 light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8.0"/>
      <color rgb="FF000000"/>
      <name val="Univers lt std 45 light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 val="0"/>
      <i val="0"/>
      <strike val="0"/>
      <u val="none"/>
      <sz val="12.0"/>
      <color rgb="FF000000"/>
      <name val="Univers lt std 45 light"/>
    </font>
    <font>
      <b/>
      <i val="0"/>
      <strike val="0"/>
      <u val="none"/>
      <sz val="12.0"/>
      <color rgb="FF000000"/>
      <name val="Century gothic"/>
    </font>
    <font>
      <b/>
      <i val="0"/>
      <strike val="0"/>
      <u/>
      <sz val="12.0"/>
      <color rgb="FF000000"/>
      <name val="Century gothic"/>
    </font>
    <font>
      <b/>
      <i val="0"/>
      <strike val="0"/>
      <u val="none"/>
      <sz val="18.0"/>
      <color rgb="FF000000"/>
      <name val="Century gothic"/>
    </font>
    <font>
      <b/>
      <i val="0"/>
      <strike val="0"/>
      <u val="none"/>
      <sz val="16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6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15658F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/>
      <sz val="12.0"/>
      <color rgb="FF0000FF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Univers lt std 45 light"/>
    </font>
    <font>
      <b/>
      <i val="0"/>
      <strike val="0"/>
      <u val="none"/>
      <sz val="14.0"/>
      <color rgb="FFFFFFFF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A5A5A5"/>
      <name val="Century gothic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4.0"/>
      <color rgb="FF000000"/>
      <name val="Century gothic"/>
    </font>
    <font>
      <b/>
      <i val="0"/>
      <strike val="0"/>
      <u val="none"/>
      <sz val="14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0.0"/>
      <color rgb="FF000000"/>
      <name val="Univers lt std 45 light"/>
    </font>
    <font>
      <b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8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0.0"/>
      <color rgb="FF000000"/>
      <name val="Century gothic"/>
    </font>
    <font>
      <b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/>
      <i val="0"/>
      <strike val="0"/>
      <u/>
      <sz val="11.0"/>
      <color rgb="FF000000"/>
      <name val="Arial"/>
    </font>
    <font>
      <b/>
      <i val="0"/>
      <strike val="0"/>
      <u/>
      <sz val="16.0"/>
      <color rgb="FF0000FF"/>
      <name val="Univers lt std 45 light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8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8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8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FFFFFF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2.0"/>
      <color rgb="FFA5A5A5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8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8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4.0"/>
      <color rgb="FFFFFFFF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2.0"/>
      <color rgb="FF000000"/>
      <name val="Century gothic"/>
    </font>
    <font>
      <b/>
      <i val="0"/>
      <strike val="0"/>
      <u val="none"/>
      <sz val="12.0"/>
      <color rgb="FF000000"/>
      <name val="Century gothic"/>
    </font>
    <font>
      <b val="0"/>
      <i val="0"/>
      <strike val="0"/>
      <u val="none"/>
      <sz val="12.0"/>
      <color rgb="FF000000"/>
      <name val="Century gothic"/>
    </font>
    <font>
      <b val="0"/>
      <i val="0"/>
      <strike val="0"/>
      <u val="none"/>
      <sz val="18.0"/>
      <color rgb="FF000000"/>
      <name val="Century gothic"/>
    </font>
    <font>
      <b/>
      <i val="0"/>
      <strike val="0"/>
      <u val="none"/>
      <sz val="11.0"/>
      <color rgb="FF000000"/>
      <name val="Century gothic"/>
    </font>
    <font>
      <b val="0"/>
      <i val="0"/>
      <strike val="0"/>
      <u val="none"/>
      <sz val="11.0"/>
      <color rgb="FFA5A5A5"/>
      <name val="Century gothic"/>
    </font>
  </fonts>
  <fills count="170">
    <fill>
      <patternFill patternType="none"/>
    </fill>
    <fill>
      <patternFill patternType="gray125">
        <bgColor rgb="FFFFFFFF"/>
      </patternFill>
    </fill>
    <fill>
      <patternFill patternType="solid">
        <fgColor rgb="FF7F7F7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4F6128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4F6128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DD9C3"/>
        <bgColor indexed="64"/>
      </patternFill>
    </fill>
  </fills>
  <borders count="3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548DD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548DD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8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48DD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48DD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48DD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4F81BD"/>
      </right>
      <top/>
      <bottom/>
      <diagonal/>
    </border>
    <border>
      <left/>
      <right/>
      <top style="medium">
        <color rgb="FF008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4F81BD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8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48DD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4F81BD"/>
      </right>
      <top style="thin">
        <color indexed="64"/>
      </top>
      <bottom/>
      <diagonal/>
    </border>
    <border>
      <left/>
      <right/>
      <top style="thin">
        <color rgb="FF548DD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008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8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8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48DD4"/>
      </left>
      <right/>
      <top/>
      <bottom/>
      <diagonal/>
    </border>
    <border>
      <left style="medium">
        <color rgb="FF008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548DD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48DD4"/>
      </right>
      <top/>
      <bottom style="thin">
        <color rgb="FF548DD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548DD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4F81BD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548DD4"/>
      </left>
      <right/>
      <top/>
      <bottom/>
      <diagonal/>
    </border>
    <border>
      <left/>
      <right style="medium">
        <color rgb="FF008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8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4F81BD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548DD4"/>
      </top>
      <bottom/>
      <diagonal/>
    </border>
    <border>
      <left style="thin">
        <color rgb="FF4F81BD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48DD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8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48DD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442">
    <xf applyAlignment="1" fillId="0" xfId="0" numFmtId="0" borderId="0" fontId="0">
      <alignment vertical="bottom" horizontal="general" wrapText="1"/>
    </xf>
    <xf applyBorder="1" applyAlignment="1" fillId="0" xfId="0" numFmtId="9" borderId="1" applyFont="1" fontId="1" applyNumberFormat="1">
      <alignment vertical="top" horizontal="center" wrapText="1"/>
    </xf>
    <xf applyAlignment="1" fillId="2" xfId="0" numFmtId="164" borderId="0" applyFont="1" fontId="2" applyNumberFormat="1" applyFill="1">
      <alignment vertical="top" horizontal="center" wrapText="1"/>
    </xf>
    <xf applyBorder="1" applyAlignment="1" fillId="0" xfId="0" numFmtId="0" borderId="2" applyFont="1" fontId="3">
      <alignment vertical="top" horizontal="general" wrapText="1"/>
    </xf>
    <xf applyBorder="1" applyAlignment="1" fillId="0" xfId="0" numFmtId="0" borderId="3" applyFont="1" fontId="4">
      <alignment vertical="top" horizontal="general" wrapText="1"/>
    </xf>
    <xf applyAlignment="1" fillId="0" xfId="0" numFmtId="165" borderId="0" applyFont="1" fontId="5" applyNumberFormat="1">
      <alignment vertical="top" horizontal="left" wrapText="1"/>
    </xf>
    <xf fillId="0" xfId="0" numFmtId="0" borderId="0" applyFont="1" fontId="6"/>
    <xf applyBorder="1" fillId="3" xfId="0" numFmtId="0" borderId="4" applyFont="1" fontId="7" applyFill="1"/>
    <xf applyBorder="1" applyAlignment="1" fillId="0" xfId="0" numFmtId="0" borderId="5" applyFont="1" fontId="8">
      <alignment vertical="top" horizontal="center" wrapText="1"/>
    </xf>
    <xf applyBorder="1" fillId="4" xfId="0" numFmtId="0" borderId="6" applyFont="1" fontId="9" applyFill="1"/>
    <xf applyBorder="1" applyAlignment="1" fillId="5" xfId="0" numFmtId="0" borderId="7" applyFont="1" fontId="10" applyFill="1">
      <alignment vertical="center" horizontal="left"/>
    </xf>
    <xf applyBorder="1" applyAlignment="1" fillId="6" xfId="0" numFmtId="166" borderId="8" applyFont="1" fontId="11" applyNumberFormat="1" applyFill="1">
      <alignment vertical="bottom" horizontal="center"/>
    </xf>
    <xf applyBorder="1" fillId="0" xfId="0" numFmtId="0" borderId="9" applyFont="1" fontId="12"/>
    <xf applyBorder="1" fillId="0" xfId="0" numFmtId="0" borderId="10" applyFont="1" fontId="13"/>
    <xf applyBorder="1" applyAlignment="1" fillId="7" xfId="0" numFmtId="0" borderId="11" applyFont="1" fontId="14" applyFill="1">
      <alignment vertical="top" horizontal="general"/>
    </xf>
    <xf applyBorder="1" fillId="0" xfId="0" numFmtId="0" borderId="12" applyFont="1" fontId="15"/>
    <xf applyBorder="1" fillId="0" xfId="0" numFmtId="0" borderId="13" applyFont="1" fontId="16"/>
    <xf applyBorder="1" fillId="0" xfId="0" numFmtId="0" borderId="14" applyFont="1" fontId="17"/>
    <xf applyBorder="1" applyAlignment="1" fillId="8" xfId="0" numFmtId="0" borderId="15" applyFont="1" fontId="18" applyFill="1">
      <alignment vertical="bottom" horizontal="center"/>
    </xf>
    <xf applyBorder="1" applyAlignment="1" fillId="0" xfId="0" numFmtId="0" borderId="16" applyFont="1" fontId="19">
      <alignment vertical="center" horizontal="left"/>
    </xf>
    <xf applyAlignment="1" fillId="0" xfId="0" numFmtId="0" borderId="0" applyFont="1" fontId="20">
      <alignment vertical="center" horizontal="general"/>
    </xf>
    <xf applyBorder="1" applyAlignment="1" fillId="0" xfId="0" numFmtId="0" borderId="17" applyFont="1" fontId="21">
      <alignment vertical="center" horizontal="center"/>
    </xf>
    <xf applyBorder="1" applyAlignment="1" fillId="0" xfId="0" numFmtId="167" borderId="18" applyFont="1" fontId="22" applyNumberFormat="1">
      <alignment vertical="top" horizontal="center" wrapText="1"/>
    </xf>
    <xf applyBorder="1" fillId="9" xfId="0" numFmtId="0" borderId="19" applyFont="1" fontId="23" applyFill="1"/>
    <xf applyBorder="1" applyAlignment="1" fillId="0" xfId="0" numFmtId="168" borderId="20" applyFont="1" fontId="24" applyNumberFormat="1">
      <alignment vertical="bottom" horizontal="left"/>
    </xf>
    <xf applyBorder="1" applyAlignment="1" fillId="0" xfId="0" numFmtId="9" borderId="21" applyFont="1" fontId="25" applyNumberFormat="1">
      <alignment vertical="top" horizontal="left" wrapText="1"/>
    </xf>
    <xf applyBorder="1" fillId="0" xfId="0" numFmtId="0" borderId="22" applyFont="1" fontId="26"/>
    <xf applyBorder="1" fillId="0" xfId="0" numFmtId="0" borderId="23" applyFont="1" fontId="27"/>
    <xf applyBorder="1" applyAlignment="1" fillId="0" xfId="0" numFmtId="0" borderId="24" applyFont="1" fontId="28">
      <alignment vertical="center" horizontal="general"/>
    </xf>
    <xf fillId="0" xfId="0" numFmtId="0" borderId="0" applyFont="1" fontId="29"/>
    <xf applyBorder="1" fillId="10" xfId="0" numFmtId="0" borderId="25" applyFont="1" fontId="30" applyFill="1"/>
    <xf applyBorder="1" applyAlignment="1" fillId="11" xfId="0" numFmtId="0" borderId="26" applyFont="1" fontId="31" applyFill="1">
      <alignment vertical="top" horizontal="center" wrapText="1"/>
    </xf>
    <xf applyBorder="1" applyAlignment="1" fillId="12" xfId="0" numFmtId="0" borderId="27" applyFont="1" fontId="32" applyFill="1">
      <alignment vertical="top" horizontal="center" wrapText="1"/>
    </xf>
    <xf fillId="0" xfId="0" numFmtId="0" borderId="0" applyFont="1" fontId="33"/>
    <xf applyBorder="1" fillId="0" xfId="0" numFmtId="0" borderId="28" applyFont="1" fontId="34"/>
    <xf applyBorder="1" applyAlignment="1" fillId="0" xfId="0" numFmtId="169" borderId="29" applyFont="1" fontId="35" applyNumberFormat="1">
      <alignment vertical="bottom" horizontal="left"/>
    </xf>
    <xf applyBorder="1" applyAlignment="1" fillId="0" xfId="0" numFmtId="0" borderId="30" applyFont="1" fontId="36">
      <alignment vertical="top" horizontal="center" wrapText="1"/>
    </xf>
    <xf applyBorder="1" applyAlignment="1" fillId="13" xfId="0" numFmtId="0" borderId="31" applyFont="1" fontId="37" applyFill="1">
      <alignment vertical="bottom" horizontal="center"/>
    </xf>
    <xf applyAlignment="1" fillId="14" xfId="0" numFmtId="170" borderId="0" applyFont="1" fontId="38" applyNumberFormat="1" applyFill="1">
      <alignment vertical="top" horizontal="center" wrapText="1"/>
    </xf>
    <xf applyBorder="1" fillId="15" xfId="0" numFmtId="0" borderId="32" applyFont="1" fontId="39" applyFill="1"/>
    <xf applyAlignment="1" fillId="0" xfId="0" numFmtId="0" borderId="0" applyFont="1" fontId="40">
      <alignment vertical="top" horizontal="center" wrapText="1"/>
    </xf>
    <xf applyAlignment="1" fillId="16" xfId="0" numFmtId="171" borderId="0" applyFont="1" fontId="41" applyNumberFormat="1" applyFill="1">
      <alignment vertical="center" horizontal="right"/>
    </xf>
    <xf applyBorder="1" fillId="17" xfId="0" numFmtId="0" borderId="33" applyFont="1" fontId="42" applyFill="1"/>
    <xf applyBorder="1" applyAlignment="1" fillId="0" xfId="0" numFmtId="172" borderId="34" applyFont="1" fontId="43" applyNumberFormat="1">
      <alignment vertical="bottom" horizontal="left"/>
    </xf>
    <xf applyBorder="1" applyAlignment="1" fillId="18" xfId="0" numFmtId="0" borderId="35" applyFont="1" fontId="44" applyFill="1">
      <alignment vertical="top" horizontal="center" wrapText="1"/>
    </xf>
    <xf applyBorder="1" fillId="19" xfId="0" numFmtId="0" borderId="36" applyFont="1" fontId="45" applyFill="1"/>
    <xf applyAlignment="1" fillId="20" xfId="0" numFmtId="173" borderId="0" applyFont="1" fontId="46" applyNumberFormat="1" applyFill="1">
      <alignment vertical="bottom" horizontal="center"/>
    </xf>
    <xf applyBorder="1" applyAlignment="1" fillId="0" xfId="0" numFmtId="0" borderId="37" applyFont="1" fontId="47">
      <alignment vertical="bottom" horizontal="general" wrapText="1"/>
    </xf>
    <xf applyBorder="1" applyAlignment="1" fillId="0" xfId="0" numFmtId="0" borderId="38" applyFont="1" fontId="48">
      <alignment vertical="center" horizontal="center"/>
    </xf>
    <xf applyBorder="1" fillId="21" xfId="0" numFmtId="0" borderId="39" applyFont="1" fontId="49" applyFill="1"/>
    <xf applyBorder="1" applyAlignment="1" fillId="22" xfId="0" numFmtId="0" borderId="40" applyFont="1" fontId="50" applyFill="1">
      <alignment vertical="bottom" horizontal="center"/>
    </xf>
    <xf applyBorder="1" applyAlignment="1" fillId="23" xfId="0" numFmtId="0" borderId="41" applyFont="1" fontId="51" applyFill="1">
      <alignment vertical="bottom" horizontal="center"/>
    </xf>
    <xf applyBorder="1" applyAlignment="1" fillId="24" xfId="0" numFmtId="174" borderId="42" applyFont="1" fontId="52" applyNumberFormat="1" applyFill="1">
      <alignment vertical="bottom" horizontal="left"/>
    </xf>
    <xf applyAlignment="1" fillId="25" xfId="0" numFmtId="175" borderId="0" applyFont="1" fontId="53" applyNumberFormat="1" applyFill="1">
      <alignment vertical="center" horizontal="general"/>
    </xf>
    <xf fillId="0" xfId="0" numFmtId="0" borderId="0" applyFont="1" fontId="54"/>
    <xf applyBorder="1" applyAlignment="1" fillId="26" xfId="0" numFmtId="0" borderId="43" applyFont="1" fontId="55" applyFill="1">
      <alignment vertical="top" horizontal="center" wrapText="1"/>
    </xf>
    <xf applyBorder="1" applyAlignment="1" fillId="0" xfId="0" numFmtId="0" borderId="44" applyFont="1" fontId="56">
      <alignment vertical="top" horizontal="general" wrapText="1"/>
    </xf>
    <xf applyAlignment="1" fillId="0" xfId="0" numFmtId="0" borderId="0" applyFont="1" fontId="57">
      <alignment vertical="center" horizontal="left" wrapText="1"/>
    </xf>
    <xf applyBorder="1" applyAlignment="1" fillId="0" xfId="0" numFmtId="0" borderId="45" applyFont="1" fontId="58">
      <alignment vertical="top" horizontal="general"/>
    </xf>
    <xf fillId="0" xfId="0" numFmtId="176" borderId="0" applyFont="1" fontId="59" applyNumberFormat="1"/>
    <xf applyAlignment="1" fillId="0" xfId="0" numFmtId="9" borderId="0" applyFont="1" fontId="60" applyNumberFormat="1">
      <alignment vertical="top" horizontal="left" wrapText="1"/>
    </xf>
    <xf applyAlignment="1" fillId="0" xfId="0" numFmtId="0" borderId="0" applyFont="1" fontId="61">
      <alignment vertical="top" horizontal="general"/>
    </xf>
    <xf applyBorder="1" fillId="0" xfId="0" numFmtId="0" borderId="46" applyFont="1" fontId="62"/>
    <xf applyBorder="1" applyAlignment="1" fillId="0" xfId="0" numFmtId="0" borderId="47" applyFont="1" fontId="63">
      <alignment vertical="top" horizontal="general" wrapText="1"/>
    </xf>
    <xf fillId="0" xfId="0" numFmtId="177" borderId="0" applyFont="1" fontId="64" applyNumberFormat="1"/>
    <xf applyAlignment="1" fillId="0" xfId="0" numFmtId="0" borderId="0" applyFont="1" fontId="65">
      <alignment vertical="center" horizontal="center"/>
    </xf>
    <xf applyBorder="1" applyAlignment="1" fillId="0" xfId="0" numFmtId="0" borderId="48" applyFont="1" fontId="66">
      <alignment vertical="center" horizontal="left"/>
    </xf>
    <xf applyBorder="1" fillId="0" xfId="0" numFmtId="178" borderId="49" applyFont="1" fontId="67" applyNumberFormat="1"/>
    <xf applyBorder="1" fillId="0" xfId="0" numFmtId="0" borderId="50" applyFont="1" fontId="68"/>
    <xf applyBorder="1" applyAlignment="1" fillId="0" xfId="0" numFmtId="0" borderId="51" applyFont="1" fontId="69">
      <alignment vertical="top" horizontal="general"/>
    </xf>
    <xf fillId="27" xfId="0" numFmtId="0" borderId="0" applyFont="1" fontId="70" applyFill="1"/>
    <xf applyBorder="1" applyAlignment="1" fillId="0" xfId="0" numFmtId="9" borderId="52" applyFont="1" fontId="71" applyNumberFormat="1">
      <alignment vertical="top" horizontal="left" wrapText="1"/>
    </xf>
    <xf applyBorder="1" applyAlignment="1" fillId="0" xfId="0" numFmtId="0" borderId="53" applyFont="1" fontId="72">
      <alignment vertical="top" horizontal="general"/>
    </xf>
    <xf applyBorder="1" applyAlignment="1" fillId="28" xfId="0" numFmtId="0" borderId="54" applyFont="1" fontId="73" applyFill="1">
      <alignment vertical="top" horizontal="center" wrapText="1"/>
    </xf>
    <xf applyBorder="1" applyAlignment="1" fillId="29" xfId="0" numFmtId="0" borderId="55" applyFont="1" fontId="74" applyFill="1">
      <alignment vertical="top" horizontal="general"/>
    </xf>
    <xf applyBorder="1" applyAlignment="1" fillId="0" xfId="0" numFmtId="0" borderId="56" applyFont="1" fontId="75">
      <alignment vertical="top" horizontal="general" wrapText="1"/>
    </xf>
    <xf applyBorder="1" applyAlignment="1" fillId="30" xfId="0" numFmtId="179" borderId="57" applyFont="1" fontId="76" applyNumberFormat="1" applyFill="1">
      <alignment vertical="bottom" horizontal="left"/>
    </xf>
    <xf applyAlignment="1" fillId="0" xfId="0" numFmtId="0" borderId="0" applyFont="1" fontId="77">
      <alignment vertical="top" horizontal="general"/>
    </xf>
    <xf applyBorder="1" fillId="31" xfId="0" numFmtId="0" borderId="58" applyFont="1" fontId="78" applyFill="1"/>
    <xf applyBorder="1" applyAlignment="1" fillId="0" xfId="0" numFmtId="0" borderId="59" applyFont="1" fontId="79">
      <alignment vertical="top" horizontal="general"/>
    </xf>
    <xf fillId="32" xfId="0" numFmtId="9" borderId="0" applyFont="1" fontId="80" applyNumberFormat="1" applyFill="1"/>
    <xf applyBorder="1" fillId="0" xfId="0" numFmtId="0" borderId="60" applyFont="1" fontId="81"/>
    <xf applyAlignment="1" fillId="33" xfId="0" numFmtId="0" borderId="0" applyFont="1" fontId="82" applyFill="1">
      <alignment vertical="center" horizontal="general"/>
    </xf>
    <xf applyBorder="1" applyAlignment="1" fillId="0" xfId="0" numFmtId="0" borderId="61" applyFont="1" fontId="83">
      <alignment vertical="bottom" horizontal="left"/>
    </xf>
    <xf applyBorder="1" applyAlignment="1" fillId="34" xfId="0" numFmtId="0" borderId="62" applyFont="1" fontId="84" applyFill="1">
      <alignment vertical="top" horizontal="center" wrapText="1"/>
    </xf>
    <xf applyAlignment="1" fillId="35" xfId="0" numFmtId="0" borderId="0" applyFont="1" fontId="85" applyFill="1">
      <alignment vertical="center" horizontal="right"/>
    </xf>
    <xf applyBorder="1" fillId="0" xfId="0" numFmtId="0" borderId="63" applyFont="1" fontId="86"/>
    <xf applyBorder="1" fillId="36" xfId="0" numFmtId="0" borderId="64" applyFont="1" fontId="87" applyFill="1"/>
    <xf applyBorder="1" fillId="0" xfId="0" numFmtId="0" borderId="65" applyFont="1" fontId="88"/>
    <xf applyAlignment="1" fillId="0" xfId="0" numFmtId="1" borderId="0" applyFont="1" fontId="89" applyNumberFormat="1">
      <alignment vertical="bottom" horizontal="right"/>
    </xf>
    <xf applyAlignment="1" fillId="0" xfId="0" numFmtId="0" borderId="0" applyFont="1" fontId="90">
      <alignment vertical="center" horizontal="general"/>
    </xf>
    <xf applyBorder="1" applyAlignment="1" fillId="0" xfId="0" numFmtId="0" borderId="66" applyFont="1" fontId="91">
      <alignment vertical="center" horizontal="general"/>
    </xf>
    <xf applyBorder="1" applyAlignment="1" fillId="37" xfId="0" numFmtId="0" borderId="67" applyFont="1" fontId="92" applyFill="1">
      <alignment vertical="top" horizontal="general"/>
    </xf>
    <xf applyBorder="1" fillId="38" xfId="0" numFmtId="0" borderId="68" applyFont="1" fontId="93" applyFill="1"/>
    <xf applyAlignment="1" fillId="0" xfId="0" numFmtId="0" borderId="0" applyFont="1" fontId="94">
      <alignment vertical="center" horizontal="left"/>
    </xf>
    <xf applyAlignment="1" fillId="0" xfId="0" numFmtId="180" borderId="0" applyFont="1" fontId="95" applyNumberFormat="1">
      <alignment vertical="bottom" horizontal="left"/>
    </xf>
    <xf applyBorder="1" applyAlignment="1" fillId="0" xfId="0" numFmtId="0" borderId="69" applyFont="1" fontId="96">
      <alignment vertical="top" horizontal="general" wrapText="1"/>
    </xf>
    <xf applyBorder="1" applyAlignment="1" fillId="39" xfId="0" numFmtId="0" borderId="70" applyFont="1" fontId="97" applyFill="1">
      <alignment vertical="top" horizontal="general" wrapText="1"/>
    </xf>
    <xf applyBorder="1" fillId="0" xfId="0" numFmtId="181" borderId="71" applyFont="1" fontId="98" applyNumberFormat="1"/>
    <xf applyBorder="1" fillId="0" xfId="0" numFmtId="0" borderId="72" applyFont="1" fontId="99"/>
    <xf applyBorder="1" applyAlignment="1" fillId="0" xfId="0" numFmtId="0" borderId="73" applyFont="1" fontId="100">
      <alignment vertical="top" horizontal="general"/>
    </xf>
    <xf applyBorder="1" applyAlignment="1" fillId="0" xfId="0" numFmtId="0" borderId="74" applyFont="1" fontId="101">
      <alignment vertical="top" horizontal="general" wrapText="1"/>
    </xf>
    <xf applyBorder="1" applyAlignment="1" fillId="40" xfId="0" numFmtId="0" borderId="75" applyFont="1" fontId="102" applyFill="1">
      <alignment vertical="bottom" horizontal="center"/>
    </xf>
    <xf applyBorder="1" applyAlignment="1" fillId="41" xfId="0" numFmtId="0" borderId="76" applyFont="1" fontId="103" applyFill="1">
      <alignment vertical="center" horizontal="left" wrapText="1"/>
    </xf>
    <xf applyBorder="1" applyAlignment="1" fillId="42" xfId="0" numFmtId="0" borderId="77" applyFont="1" fontId="104" applyFill="1">
      <alignment vertical="center" horizontal="general"/>
    </xf>
    <xf applyBorder="1" fillId="0" xfId="0" numFmtId="0" borderId="78" applyFont="1" fontId="105"/>
    <xf applyAlignment="1" fillId="0" xfId="0" numFmtId="182" borderId="0" applyFont="1" fontId="106" applyNumberFormat="1">
      <alignment vertical="top" horizontal="center" wrapText="1"/>
    </xf>
    <xf applyBorder="1" applyAlignment="1" fillId="0" xfId="0" numFmtId="9" borderId="79" applyFont="1" fontId="107" applyNumberFormat="1">
      <alignment vertical="top" horizontal="center" wrapText="1"/>
    </xf>
    <xf applyBorder="1" applyAlignment="1" fillId="43" xfId="0" numFmtId="183" borderId="80" applyFont="1" fontId="108" applyNumberFormat="1" applyFill="1">
      <alignment vertical="bottom" horizontal="left"/>
    </xf>
    <xf applyAlignment="1" fillId="0" xfId="0" numFmtId="0" borderId="0" applyFont="1" fontId="109">
      <alignment vertical="center" horizontal="left" wrapText="1"/>
    </xf>
    <xf applyBorder="1" applyAlignment="1" fillId="44" xfId="0" numFmtId="0" borderId="81" applyFont="1" fontId="110" applyFill="1">
      <alignment vertical="center" horizontal="general"/>
    </xf>
    <xf applyBorder="1" fillId="0" xfId="0" numFmtId="0" borderId="82" applyFont="1" fontId="111"/>
    <xf applyBorder="1" applyAlignment="1" fillId="45" xfId="0" numFmtId="184" borderId="83" applyFont="1" fontId="112" applyNumberFormat="1" applyFill="1">
      <alignment vertical="bottom" horizontal="center"/>
    </xf>
    <xf applyBorder="1" applyAlignment="1" fillId="46" xfId="0" numFmtId="0" borderId="84" applyFont="1" fontId="113" applyFill="1">
      <alignment vertical="bottom" horizontal="center"/>
    </xf>
    <xf applyBorder="1" applyAlignment="1" fillId="0" xfId="0" numFmtId="0" borderId="85" applyFont="1" fontId="114">
      <alignment vertical="center" horizontal="left"/>
    </xf>
    <xf applyBorder="1" applyAlignment="1" fillId="0" xfId="0" numFmtId="0" borderId="86" applyFont="1" fontId="115">
      <alignment vertical="center" horizontal="center"/>
    </xf>
    <xf applyAlignment="1" fillId="0" xfId="0" numFmtId="0" borderId="0" applyFont="1" fontId="116">
      <alignment vertical="bottom" horizontal="right"/>
    </xf>
    <xf applyAlignment="1" fillId="0" xfId="0" numFmtId="185" borderId="0" applyFont="1" fontId="117" applyNumberFormat="1">
      <alignment vertical="bottom" horizontal="left"/>
    </xf>
    <xf applyBorder="1" fillId="47" xfId="0" numFmtId="0" borderId="87" applyFont="1" fontId="118" applyFill="1"/>
    <xf applyBorder="1" applyAlignment="1" fillId="0" xfId="0" numFmtId="9" borderId="88" applyFont="1" fontId="119" applyNumberFormat="1">
      <alignment vertical="top" horizontal="left" wrapText="1"/>
    </xf>
    <xf applyBorder="1" fillId="48" xfId="0" numFmtId="0" borderId="89" applyFont="1" fontId="120" applyFill="1"/>
    <xf applyAlignment="1" fillId="49" xfId="0" numFmtId="0" borderId="0" applyFont="1" fontId="121" applyFill="1">
      <alignment vertical="bottom" horizontal="right"/>
    </xf>
    <xf applyBorder="1" applyAlignment="1" fillId="50" xfId="0" numFmtId="186" borderId="90" applyFont="1" fontId="122" applyNumberFormat="1" applyFill="1">
      <alignment vertical="bottom" horizontal="left"/>
    </xf>
    <xf fillId="0" xfId="0" numFmtId="187" borderId="0" applyFont="1" fontId="123" applyNumberFormat="1"/>
    <xf applyBorder="1" applyAlignment="1" fillId="0" xfId="0" numFmtId="0" borderId="91" applyFont="1" fontId="124">
      <alignment vertical="top" horizontal="general"/>
    </xf>
    <xf applyBorder="1" applyAlignment="1" fillId="51" xfId="0" numFmtId="0" borderId="92" applyFont="1" fontId="125" applyFill="1">
      <alignment vertical="center" horizontal="left"/>
    </xf>
    <xf applyBorder="1" fillId="0" xfId="0" numFmtId="188" borderId="93" applyFont="1" fontId="126" applyNumberFormat="1"/>
    <xf applyBorder="1" fillId="0" xfId="0" numFmtId="0" borderId="94" applyFont="1" fontId="127"/>
    <xf applyBorder="1" fillId="52" xfId="0" numFmtId="0" borderId="95" applyFont="1" fontId="128" applyFill="1"/>
    <xf applyAlignment="1" fillId="0" xfId="0" numFmtId="189" borderId="0" applyFont="1" fontId="129" applyNumberFormat="1">
      <alignment vertical="center" horizontal="center"/>
    </xf>
    <xf applyBorder="1" fillId="0" xfId="0" numFmtId="0" borderId="96" applyFont="1" fontId="130"/>
    <xf applyBorder="1" fillId="53" xfId="0" numFmtId="0" borderId="97" applyFont="1" fontId="131" applyFill="1"/>
    <xf applyBorder="1" fillId="0" xfId="0" numFmtId="0" borderId="98" applyFont="1" fontId="132"/>
    <xf fillId="54" xfId="0" numFmtId="9" borderId="0" applyFont="1" fontId="133" applyNumberFormat="1" applyFill="1"/>
    <xf applyBorder="1" fillId="0" xfId="0" numFmtId="0" borderId="99" applyFont="1" fontId="134"/>
    <xf applyBorder="1" applyAlignment="1" fillId="55" xfId="0" numFmtId="0" borderId="100" applyFont="1" fontId="135" applyFill="1">
      <alignment vertical="top" horizontal="center" wrapText="1"/>
    </xf>
    <xf applyBorder="1" applyAlignment="1" fillId="0" xfId="0" numFmtId="0" borderId="101" applyFont="1" fontId="136">
      <alignment vertical="top" horizontal="general"/>
    </xf>
    <xf applyAlignment="1" fillId="56" xfId="0" numFmtId="0" borderId="0" applyFont="1" fontId="137" applyFill="1">
      <alignment vertical="top" horizontal="general"/>
    </xf>
    <xf applyBorder="1" applyAlignment="1" fillId="0" xfId="0" numFmtId="0" borderId="102" applyFont="1" fontId="138">
      <alignment vertical="center" horizontal="general"/>
    </xf>
    <xf applyAlignment="1" fillId="0" xfId="0" numFmtId="0" borderId="0" applyFont="1" fontId="139">
      <alignment vertical="top" horizontal="general"/>
    </xf>
    <xf applyBorder="1" fillId="0" xfId="0" numFmtId="0" borderId="103" applyFont="1" fontId="140"/>
    <xf applyBorder="1" fillId="57" xfId="0" numFmtId="0" borderId="104" applyFont="1" fontId="141" applyFill="1"/>
    <xf applyAlignment="1" fillId="0" xfId="0" numFmtId="0" borderId="0" applyFont="1" fontId="142">
      <alignment vertical="top" horizontal="general" wrapText="1"/>
    </xf>
    <xf applyBorder="1" fillId="58" xfId="0" numFmtId="0" borderId="105" applyFont="1" fontId="143" applyFill="1"/>
    <xf fillId="0" xfId="0" numFmtId="9" borderId="0" applyFont="1" fontId="144" applyNumberFormat="1"/>
    <xf applyBorder="1" applyAlignment="1" fillId="0" xfId="0" numFmtId="9" borderId="106" applyFont="1" fontId="145" applyNumberFormat="1">
      <alignment vertical="bottom" horizontal="center"/>
    </xf>
    <xf applyBorder="1" fillId="0" xfId="0" numFmtId="0" borderId="107" applyFont="1" fontId="146"/>
    <xf applyBorder="1" applyAlignment="1" fillId="0" xfId="0" numFmtId="190" borderId="108" applyFont="1" fontId="147" applyNumberFormat="1">
      <alignment vertical="center" horizontal="right"/>
    </xf>
    <xf applyBorder="1" fillId="59" xfId="0" numFmtId="0" borderId="109" applyFont="1" fontId="148" applyFill="1"/>
    <xf applyAlignment="1" fillId="0" xfId="0" numFmtId="0" borderId="0" applyFont="1" fontId="149">
      <alignment vertical="bottom" horizontal="left"/>
    </xf>
    <xf applyBorder="1" applyAlignment="1" fillId="0" xfId="0" numFmtId="0" borderId="110" applyFont="1" fontId="150">
      <alignment vertical="center" horizontal="general"/>
    </xf>
    <xf applyBorder="1" applyAlignment="1" fillId="60" xfId="0" numFmtId="191" borderId="111" applyFont="1" fontId="151" applyNumberFormat="1" applyFill="1">
      <alignment vertical="bottom" horizontal="center"/>
    </xf>
    <xf applyBorder="1" applyAlignment="1" fillId="61" xfId="0" numFmtId="0" borderId="112" applyFont="1" fontId="152" applyFill="1">
      <alignment vertical="top" horizontal="center" wrapText="1"/>
    </xf>
    <xf applyBorder="1" applyAlignment="1" fillId="62" xfId="0" numFmtId="192" borderId="113" applyFont="1" fontId="153" applyNumberFormat="1" applyFill="1">
      <alignment vertical="bottom" horizontal="center"/>
    </xf>
    <xf applyBorder="1" applyAlignment="1" fillId="0" xfId="0" numFmtId="0" borderId="114" applyFont="1" fontId="154">
      <alignment vertical="top" horizontal="general"/>
    </xf>
    <xf applyBorder="1" applyAlignment="1" fillId="0" xfId="0" numFmtId="0" borderId="115" applyFont="1" fontId="155">
      <alignment vertical="center" horizontal="right"/>
    </xf>
    <xf applyBorder="1" applyAlignment="1" fillId="0" xfId="0" numFmtId="0" borderId="116" fontId="0">
      <alignment vertical="bottom" horizontal="general" wrapText="1"/>
    </xf>
    <xf applyBorder="1" applyAlignment="1" fillId="0" xfId="0" numFmtId="193" borderId="117" applyFont="1" fontId="156" applyNumberFormat="1">
      <alignment vertical="top" horizontal="left" wrapText="1"/>
    </xf>
    <xf applyBorder="1" applyAlignment="1" fillId="63" xfId="0" numFmtId="0" borderId="118" applyFont="1" fontId="157" applyFill="1">
      <alignment vertical="center" horizontal="left"/>
    </xf>
    <xf applyBorder="1" fillId="0" xfId="0" numFmtId="0" borderId="119" applyFont="1" fontId="158"/>
    <xf applyBorder="1" fillId="64" xfId="0" numFmtId="0" borderId="120" applyFont="1" fontId="159" applyFill="1"/>
    <xf applyBorder="1" applyAlignment="1" fillId="65" xfId="0" numFmtId="0" borderId="121" applyFont="1" fontId="160" applyFill="1">
      <alignment vertical="top" horizontal="center" wrapText="1"/>
    </xf>
    <xf applyBorder="1" applyAlignment="1" fillId="0" xfId="0" numFmtId="194" borderId="122" applyFont="1" fontId="161" applyNumberFormat="1">
      <alignment vertical="center" horizontal="right"/>
    </xf>
    <xf applyBorder="1" fillId="0" xfId="0" numFmtId="0" borderId="123" applyFont="1" fontId="162"/>
    <xf applyBorder="1" fillId="66" xfId="0" numFmtId="0" borderId="124" applyFont="1" fontId="163" applyFill="1"/>
    <xf fillId="0" xfId="0" numFmtId="0" borderId="0" applyFont="1" fontId="164"/>
    <xf fillId="0" xfId="0" numFmtId="0" borderId="0" applyFont="1" fontId="165"/>
    <xf applyAlignment="1" fillId="67" xfId="0" numFmtId="195" borderId="0" applyFont="1" fontId="166" applyNumberFormat="1" applyFill="1">
      <alignment vertical="bottom" horizontal="left"/>
    </xf>
    <xf applyBorder="1" applyAlignment="1" fillId="68" xfId="0" numFmtId="9" borderId="125" applyFont="1" fontId="167" applyNumberFormat="1" applyFill="1">
      <alignment vertical="top" horizontal="center" wrapText="1"/>
    </xf>
    <xf applyAlignment="1" fillId="0" xfId="0" numFmtId="0" borderId="0" applyFont="1" fontId="168">
      <alignment vertical="center" horizontal="right"/>
    </xf>
    <xf applyBorder="1" fillId="69" xfId="0" numFmtId="0" borderId="126" applyFont="1" fontId="169" applyFill="1"/>
    <xf applyBorder="1" applyAlignment="1" fillId="0" xfId="0" numFmtId="0" borderId="127" applyFont="1" fontId="170">
      <alignment vertical="bottom" horizontal="left"/>
    </xf>
    <xf applyBorder="1" fillId="0" xfId="0" numFmtId="0" borderId="128" applyFont="1" fontId="171"/>
    <xf applyBorder="1" applyAlignment="1" fillId="0" xfId="0" numFmtId="9" borderId="129" applyFont="1" fontId="172" applyNumberFormat="1">
      <alignment vertical="bottom" horizontal="left"/>
    </xf>
    <xf fillId="0" xfId="0" numFmtId="196" borderId="0" applyFont="1" fontId="173" applyNumberFormat="1"/>
    <xf applyBorder="1" applyAlignment="1" fillId="0" xfId="0" numFmtId="0" borderId="130" applyFont="1" fontId="174">
      <alignment vertical="center" horizontal="general"/>
    </xf>
    <xf applyBorder="1" applyAlignment="1" fillId="70" xfId="0" numFmtId="0" borderId="131" applyFont="1" fontId="175" applyFill="1">
      <alignment vertical="top" horizontal="center" wrapText="1"/>
    </xf>
    <xf applyAlignment="1" fillId="0" xfId="0" numFmtId="0" borderId="0" applyFont="1" fontId="176">
      <alignment vertical="center" horizontal="left"/>
    </xf>
    <xf applyBorder="1" applyAlignment="1" fillId="71" xfId="0" numFmtId="197" borderId="132" applyFont="1" fontId="177" applyNumberFormat="1" applyFill="1">
      <alignment vertical="bottom" horizontal="center"/>
    </xf>
    <xf fillId="72" xfId="0" numFmtId="0" borderId="0" applyFont="1" fontId="178" applyFill="1"/>
    <xf applyBorder="1" applyAlignment="1" fillId="0" xfId="0" numFmtId="0" borderId="133" applyFont="1" fontId="179">
      <alignment vertical="center" horizontal="general"/>
    </xf>
    <xf applyBorder="1" applyAlignment="1" fillId="0" xfId="0" numFmtId="0" borderId="134" applyFont="1" fontId="180">
      <alignment vertical="center" horizontal="right"/>
    </xf>
    <xf applyBorder="1" applyAlignment="1" fillId="0" xfId="0" numFmtId="198" borderId="135" applyFont="1" fontId="181" applyNumberFormat="1">
      <alignment vertical="top" horizontal="left" wrapText="1"/>
    </xf>
    <xf applyBorder="1" applyAlignment="1" fillId="0" xfId="0" numFmtId="199" borderId="136" applyFont="1" fontId="182" applyNumberFormat="1">
      <alignment vertical="top" horizontal="left" wrapText="1"/>
    </xf>
    <xf applyBorder="1" fillId="0" xfId="0" numFmtId="0" borderId="137" applyFont="1" fontId="183"/>
    <xf applyBorder="1" applyAlignment="1" fillId="0" xfId="0" numFmtId="0" borderId="138" applyFont="1" fontId="184">
      <alignment vertical="top" horizontal="general"/>
    </xf>
    <xf applyBorder="1" applyAlignment="1" fillId="0" xfId="0" numFmtId="200" borderId="139" applyFont="1" fontId="185" applyNumberFormat="1">
      <alignment vertical="bottom" horizontal="left"/>
    </xf>
    <xf fillId="73" xfId="0" numFmtId="0" borderId="0" applyFont="1" fontId="186" applyFill="1"/>
    <xf applyBorder="1" applyAlignment="1" fillId="0" xfId="0" numFmtId="201" borderId="140" applyFont="1" fontId="187" applyNumberFormat="1">
      <alignment vertical="center" horizontal="right"/>
    </xf>
    <xf applyBorder="1" fillId="74" xfId="0" numFmtId="0" borderId="141" applyFont="1" fontId="188" applyFill="1"/>
    <xf applyBorder="1" fillId="0" xfId="0" numFmtId="0" borderId="142" applyFont="1" fontId="189"/>
    <xf applyAlignment="1" fillId="75" xfId="0" numFmtId="0" borderId="0" applyFont="1" fontId="190" applyFill="1">
      <alignment vertical="top" horizontal="general" wrapText="1"/>
    </xf>
    <xf applyBorder="1" applyAlignment="1" fillId="0" xfId="0" numFmtId="0" borderId="143" applyFont="1" fontId="191">
      <alignment vertical="center" horizontal="general"/>
    </xf>
    <xf applyAlignment="1" fillId="76" xfId="0" numFmtId="3" borderId="0" applyFont="1" fontId="192" applyNumberFormat="1" applyFill="1">
      <alignment vertical="center" horizontal="right"/>
    </xf>
    <xf applyBorder="1" applyAlignment="1" fillId="77" xfId="0" numFmtId="0" borderId="144" applyFont="1" fontId="193" applyFill="1">
      <alignment vertical="center" horizontal="center" wrapText="1"/>
    </xf>
    <xf applyBorder="1" applyAlignment="1" fillId="0" xfId="0" numFmtId="0" borderId="145" applyFont="1" fontId="194">
      <alignment vertical="top" horizontal="general"/>
    </xf>
    <xf fillId="0" xfId="0" numFmtId="202" borderId="0" applyFont="1" fontId="195" applyNumberFormat="1"/>
    <xf applyAlignment="1" fillId="0" xfId="0" numFmtId="0" borderId="0" applyFont="1" fontId="196">
      <alignment vertical="bottom" horizontal="left"/>
    </xf>
    <xf applyBorder="1" fillId="78" xfId="0" numFmtId="0" borderId="146" applyFont="1" fontId="197" applyFill="1"/>
    <xf applyBorder="1" fillId="0" xfId="0" numFmtId="203" borderId="147" applyFont="1" fontId="198" applyNumberFormat="1"/>
    <xf applyBorder="1" applyAlignment="1" fillId="0" xfId="0" numFmtId="0" borderId="148" applyFont="1" fontId="199">
      <alignment vertical="bottom" horizontal="center"/>
    </xf>
    <xf applyAlignment="1" fillId="79" xfId="0" numFmtId="3" borderId="0" applyFont="1" fontId="200" applyNumberFormat="1" applyFill="1">
      <alignment vertical="center" horizontal="general"/>
    </xf>
    <xf applyAlignment="1" fillId="0" xfId="0" numFmtId="9" borderId="0" applyFont="1" fontId="201" applyNumberFormat="1">
      <alignment vertical="bottom" horizontal="left"/>
    </xf>
    <xf applyAlignment="1" fillId="0" xfId="0" numFmtId="204" borderId="0" applyFont="1" fontId="202" applyNumberFormat="1">
      <alignment vertical="top" horizontal="left" wrapText="1"/>
    </xf>
    <xf applyBorder="1" applyAlignment="1" fillId="80" xfId="0" numFmtId="0" borderId="149" applyFont="1" fontId="203" applyFill="1">
      <alignment vertical="bottom" horizontal="center"/>
    </xf>
    <xf applyBorder="1" applyAlignment="1" fillId="0" xfId="0" numFmtId="0" borderId="150" applyFont="1" fontId="204">
      <alignment vertical="top" horizontal="right" wrapText="1"/>
    </xf>
    <xf applyBorder="1" fillId="81" xfId="0" numFmtId="0" borderId="151" applyFont="1" fontId="205" applyFill="1"/>
    <xf applyBorder="1" applyAlignment="1" fillId="0" xfId="0" numFmtId="9" borderId="152" applyFont="1" fontId="206" applyNumberFormat="1">
      <alignment vertical="top" horizontal="left" wrapText="1"/>
    </xf>
    <xf applyBorder="1" applyAlignment="1" fillId="82" xfId="0" numFmtId="0" borderId="153" applyFont="1" fontId="207" applyFill="1">
      <alignment vertical="bottom" horizontal="center"/>
    </xf>
    <xf applyAlignment="1" fillId="0" xfId="0" numFmtId="0" borderId="0" applyFont="1" fontId="208">
      <alignment vertical="center" horizontal="left" wrapText="1"/>
    </xf>
    <xf applyBorder="1" applyAlignment="1" fillId="0" xfId="0" numFmtId="0" borderId="154" applyFont="1" fontId="209">
      <alignment vertical="top" horizontal="general"/>
    </xf>
    <xf applyAlignment="1" fillId="0" xfId="0" numFmtId="0" borderId="0" applyFont="1" fontId="210">
      <alignment vertical="center" horizontal="general" wrapText="1"/>
    </xf>
    <xf applyBorder="1" applyAlignment="1" fillId="0" xfId="0" numFmtId="205" borderId="155" applyFont="1" fontId="211" applyNumberFormat="1">
      <alignment vertical="bottom" horizontal="center"/>
    </xf>
    <xf applyBorder="1" fillId="0" xfId="0" numFmtId="0" borderId="156" applyFont="1" fontId="212"/>
    <xf applyAlignment="1" fillId="0" xfId="0" numFmtId="0" borderId="0" applyFont="1" fontId="213">
      <alignment vertical="bottom" horizontal="center"/>
    </xf>
    <xf applyBorder="1" applyAlignment="1" fillId="83" xfId="0" numFmtId="0" borderId="157" applyFont="1" fontId="214" applyFill="1">
      <alignment vertical="top" horizontal="general" wrapText="1"/>
    </xf>
    <xf applyBorder="1" fillId="84" xfId="0" numFmtId="0" borderId="158" applyFont="1" fontId="215" applyFill="1"/>
    <xf applyBorder="1" fillId="85" xfId="0" numFmtId="0" borderId="159" applyFont="1" fontId="216" applyFill="1"/>
    <xf applyBorder="1" fillId="0" xfId="0" numFmtId="0" borderId="160" applyFont="1" fontId="217"/>
    <xf applyBorder="1" fillId="0" xfId="0" numFmtId="0" borderId="161" applyFont="1" fontId="218"/>
    <xf applyBorder="1" applyAlignment="1" fillId="0" xfId="0" numFmtId="0" borderId="162" applyFont="1" fontId="219">
      <alignment vertical="center" horizontal="general"/>
    </xf>
    <xf applyBorder="1" fillId="86" xfId="0" numFmtId="0" borderId="163" applyFont="1" fontId="220" applyFill="1"/>
    <xf applyBorder="1" fillId="87" xfId="0" numFmtId="0" borderId="164" applyFont="1" fontId="221" applyFill="1"/>
    <xf applyBorder="1" applyAlignment="1" fillId="88" xfId="0" numFmtId="0" borderId="165" applyFont="1" fontId="222" applyFill="1">
      <alignment vertical="top" horizontal="general" wrapText="1"/>
    </xf>
    <xf applyBorder="1" fillId="0" xfId="0" numFmtId="0" borderId="166" applyFont="1" fontId="223"/>
    <xf applyBorder="1" applyAlignment="1" fillId="0" xfId="0" numFmtId="0" borderId="167" applyFont="1" fontId="224">
      <alignment vertical="top" horizontal="general"/>
    </xf>
    <xf applyBorder="1" fillId="0" xfId="0" numFmtId="206" borderId="168" applyFont="1" fontId="225" applyNumberFormat="1"/>
    <xf fillId="89" xfId="0" numFmtId="0" borderId="0" applyFont="1" fontId="226" applyFill="1"/>
    <xf applyBorder="1" applyAlignment="1" fillId="0" xfId="0" numFmtId="0" borderId="169" applyFont="1" fontId="227">
      <alignment vertical="top" horizontal="general"/>
    </xf>
    <xf applyBorder="1" applyAlignment="1" fillId="90" xfId="0" numFmtId="0" borderId="170" applyFont="1" fontId="228" applyFill="1">
      <alignment vertical="center" horizontal="left" wrapText="1"/>
    </xf>
    <xf applyBorder="1" applyAlignment="1" fillId="0" xfId="0" numFmtId="0" borderId="171" applyFont="1" fontId="229">
      <alignment vertical="top" horizontal="general"/>
    </xf>
    <xf applyBorder="1" fillId="91" xfId="0" numFmtId="0" borderId="172" applyFont="1" fontId="230" applyFill="1"/>
    <xf applyBorder="1" applyAlignment="1" fillId="0" xfId="0" numFmtId="0" borderId="173" applyFont="1" fontId="231">
      <alignment vertical="top" horizontal="general" wrapText="1"/>
    </xf>
    <xf fillId="0" xfId="0" numFmtId="0" borderId="0" applyFont="1" fontId="232"/>
    <xf applyBorder="1" fillId="92" xfId="0" numFmtId="0" borderId="174" applyFont="1" fontId="233" applyFill="1"/>
    <xf applyBorder="1" applyAlignment="1" fillId="93" xfId="0" numFmtId="207" borderId="175" applyFont="1" fontId="234" applyNumberFormat="1" applyFill="1">
      <alignment vertical="bottom" horizontal="left"/>
    </xf>
    <xf applyBorder="1" applyAlignment="1" fillId="94" xfId="0" numFmtId="0" borderId="176" applyFont="1" fontId="235" applyFill="1">
      <alignment vertical="top" horizontal="center" wrapText="1"/>
    </xf>
    <xf applyBorder="1" fillId="0" xfId="0" numFmtId="0" borderId="177" applyFont="1" fontId="236"/>
    <xf applyAlignment="1" fillId="95" xfId="0" numFmtId="9" borderId="0" applyFont="1" fontId="237" applyNumberFormat="1" applyFill="1">
      <alignment vertical="bottom" horizontal="left"/>
    </xf>
    <xf applyBorder="1" applyAlignment="1" fillId="96" xfId="0" numFmtId="0" borderId="178" applyFont="1" fontId="238" applyFill="1">
      <alignment vertical="top" horizontal="center" wrapText="1"/>
    </xf>
    <xf fillId="0" xfId="0" numFmtId="208" borderId="0" applyFont="1" fontId="239" applyNumberFormat="1"/>
    <xf fillId="0" xfId="0" numFmtId="0" borderId="0" applyFont="1" fontId="240"/>
    <xf applyAlignment="1" fillId="0" xfId="0" numFmtId="0" borderId="0" applyFont="1" fontId="241">
      <alignment vertical="center" horizontal="left"/>
    </xf>
    <xf applyAlignment="1" fillId="0" xfId="0" numFmtId="0" borderId="0" applyFont="1" fontId="242">
      <alignment vertical="center" horizontal="general"/>
    </xf>
    <xf applyBorder="1" applyAlignment="1" fillId="97" xfId="0" numFmtId="0" borderId="179" applyFont="1" fontId="243" applyFill="1">
      <alignment vertical="top" horizontal="center" wrapText="1"/>
    </xf>
    <xf applyBorder="1" applyAlignment="1" fillId="98" xfId="0" numFmtId="209" borderId="180" applyFont="1" fontId="244" applyNumberFormat="1" applyFill="1">
      <alignment vertical="bottom" horizontal="center"/>
    </xf>
    <xf applyAlignment="1" fillId="0" xfId="0" numFmtId="0" borderId="0" applyFont="1" fontId="245">
      <alignment vertical="top" horizontal="center" wrapText="1"/>
    </xf>
    <xf applyBorder="1" applyAlignment="1" fillId="0" xfId="0" numFmtId="0" borderId="181" applyFont="1" fontId="246">
      <alignment vertical="top" horizontal="general" wrapText="1"/>
    </xf>
    <xf applyAlignment="1" fillId="99" xfId="0" numFmtId="210" borderId="0" applyFont="1" fontId="247" applyNumberFormat="1" applyFill="1">
      <alignment vertical="bottom" horizontal="left"/>
    </xf>
    <xf applyBorder="1" applyAlignment="1" fillId="100" xfId="0" numFmtId="0" borderId="182" applyFont="1" fontId="248" applyFill="1">
      <alignment vertical="center" horizontal="left"/>
    </xf>
    <xf applyBorder="1" applyAlignment="1" fillId="0" xfId="0" numFmtId="0" borderId="183" applyFont="1" fontId="249">
      <alignment vertical="bottom" horizontal="general" wrapText="1"/>
    </xf>
    <xf applyBorder="1" fillId="101" xfId="0" numFmtId="0" borderId="184" applyFont="1" fontId="250" applyFill="1"/>
    <xf applyBorder="1" fillId="102" xfId="0" numFmtId="0" borderId="185" applyFont="1" fontId="251" applyFill="1"/>
    <xf applyBorder="1" fillId="0" xfId="0" numFmtId="0" borderId="186" applyFont="1" fontId="252"/>
    <xf applyBorder="1" fillId="0" xfId="0" numFmtId="0" borderId="187" applyFont="1" fontId="253"/>
    <xf applyBorder="1" fillId="103" xfId="0" numFmtId="0" borderId="188" applyFont="1" fontId="254" applyFill="1"/>
    <xf applyBorder="1" applyAlignment="1" fillId="0" xfId="0" numFmtId="0" borderId="189" applyFont="1" fontId="255">
      <alignment vertical="center" horizontal="general"/>
    </xf>
    <xf applyBorder="1" applyAlignment="1" fillId="0" xfId="0" numFmtId="211" borderId="190" applyFont="1" fontId="256" applyNumberFormat="1">
      <alignment vertical="center" horizontal="right"/>
    </xf>
    <xf applyBorder="1" fillId="104" xfId="0" numFmtId="0" borderId="191" applyFont="1" fontId="257" applyFill="1"/>
    <xf applyBorder="1" applyAlignment="1" fillId="105" xfId="0" numFmtId="0" borderId="192" applyFont="1" fontId="258" applyFill="1">
      <alignment vertical="top" horizontal="general"/>
    </xf>
    <xf applyAlignment="1" fillId="0" xfId="0" numFmtId="212" borderId="0" applyFont="1" fontId="259" applyNumberFormat="1">
      <alignment vertical="center" horizontal="right"/>
    </xf>
    <xf fillId="0" xfId="0" numFmtId="0" borderId="0" applyFont="1" fontId="260"/>
    <xf applyBorder="1" applyAlignment="1" fillId="0" xfId="0" numFmtId="0" borderId="193" applyFont="1" fontId="261">
      <alignment vertical="center" horizontal="general"/>
    </xf>
    <xf applyBorder="1" applyAlignment="1" fillId="0" xfId="0" numFmtId="0" borderId="194" applyFont="1" fontId="262">
      <alignment vertical="top" horizontal="general"/>
    </xf>
    <xf applyBorder="1" applyAlignment="1" fillId="0" xfId="0" numFmtId="0" borderId="195" applyFont="1" fontId="263">
      <alignment vertical="center" horizontal="center"/>
    </xf>
    <xf applyBorder="1" applyAlignment="1" fillId="0" xfId="0" numFmtId="213" borderId="196" applyFont="1" fontId="264" applyNumberFormat="1">
      <alignment vertical="center" horizontal="right"/>
    </xf>
    <xf applyAlignment="1" fillId="0" xfId="0" numFmtId="9" borderId="0" applyFont="1" fontId="265" applyNumberFormat="1">
      <alignment vertical="bottom" horizontal="right"/>
    </xf>
    <xf applyAlignment="1" fillId="0" xfId="0" numFmtId="214" borderId="0" applyFont="1" fontId="266" applyNumberFormat="1">
      <alignment vertical="top" horizontal="left" wrapText="1"/>
    </xf>
    <xf fillId="0" xfId="0" numFmtId="0" borderId="0" applyFont="1" fontId="267"/>
    <xf applyBorder="1" fillId="106" xfId="0" numFmtId="0" borderId="197" applyFont="1" fontId="268" applyFill="1"/>
    <xf applyBorder="1" fillId="107" xfId="0" numFmtId="0" borderId="198" applyFont="1" fontId="269" applyFill="1"/>
    <xf applyBorder="1" applyAlignment="1" fillId="0" xfId="0" numFmtId="0" borderId="199" applyFont="1" fontId="270">
      <alignment vertical="top" horizontal="general" wrapText="1"/>
    </xf>
    <xf applyBorder="1" fillId="0" xfId="0" numFmtId="0" borderId="200" applyFont="1" fontId="271"/>
    <xf applyBorder="1" applyAlignment="1" fillId="108" xfId="0" numFmtId="0" borderId="201" applyFont="1" fontId="272" applyFill="1">
      <alignment vertical="bottom" horizontal="center"/>
    </xf>
    <xf applyBorder="1" applyAlignment="1" fillId="109" xfId="0" numFmtId="0" borderId="202" applyFont="1" fontId="273" applyFill="1">
      <alignment vertical="top" horizontal="general"/>
    </xf>
    <xf applyBorder="1" applyAlignment="1" fillId="0" xfId="0" numFmtId="0" borderId="203" applyFont="1" fontId="274">
      <alignment vertical="top" horizontal="general"/>
    </xf>
    <xf applyBorder="1" applyAlignment="1" fillId="0" xfId="0" numFmtId="215" borderId="204" applyFont="1" fontId="275" applyNumberFormat="1">
      <alignment vertical="bottom" horizontal="left"/>
    </xf>
    <xf applyBorder="1" fillId="110" xfId="0" numFmtId="0" borderId="205" applyFont="1" fontId="276" applyFill="1"/>
    <xf applyBorder="1" applyAlignment="1" fillId="0" xfId="0" numFmtId="0" borderId="206" applyFont="1" fontId="277">
      <alignment vertical="center" horizontal="general"/>
    </xf>
    <xf applyBorder="1" applyAlignment="1" fillId="0" xfId="0" numFmtId="216" borderId="207" applyFont="1" fontId="278" applyNumberFormat="1">
      <alignment vertical="center" horizontal="right"/>
    </xf>
    <xf applyBorder="1" fillId="0" xfId="0" numFmtId="10" borderId="208" applyFont="1" fontId="279" applyNumberFormat="1"/>
    <xf applyBorder="1" fillId="0" xfId="0" numFmtId="0" borderId="209" applyFont="1" fontId="280"/>
    <xf applyAlignment="1" fillId="0" xfId="0" numFmtId="0" borderId="0" applyFont="1" fontId="281">
      <alignment vertical="center" horizontal="general"/>
    </xf>
    <xf applyBorder="1" applyAlignment="1" fillId="111" xfId="0" numFmtId="0" borderId="210" applyFont="1" fontId="282" applyFill="1">
      <alignment vertical="center" horizontal="general"/>
    </xf>
    <xf applyBorder="1" fillId="0" xfId="0" numFmtId="0" borderId="211" applyFont="1" fontId="283"/>
    <xf applyBorder="1" applyAlignment="1" fillId="0" xfId="0" numFmtId="217" borderId="212" applyFont="1" fontId="284" applyNumberFormat="1">
      <alignment vertical="center" horizontal="right"/>
    </xf>
    <xf applyBorder="1" fillId="112" xfId="0" numFmtId="0" borderId="213" applyFont="1" fontId="285" applyFill="1"/>
    <xf applyBorder="1" applyAlignment="1" fillId="113" xfId="0" numFmtId="0" borderId="214" applyFont="1" fontId="286" applyFill="1">
      <alignment vertical="center" horizontal="right"/>
    </xf>
    <xf applyBorder="1" applyAlignment="1" fillId="0" xfId="0" numFmtId="0" borderId="215" applyFont="1" fontId="287">
      <alignment vertical="bottom" horizontal="left"/>
    </xf>
    <xf applyAlignment="1" fillId="0" xfId="0" numFmtId="9" borderId="0" applyFont="1" fontId="288" applyNumberFormat="1">
      <alignment vertical="top" horizontal="center" wrapText="1"/>
    </xf>
    <xf applyBorder="1" fillId="114" xfId="0" numFmtId="0" borderId="216" applyFont="1" fontId="289" applyFill="1"/>
    <xf applyAlignment="1" fillId="0" xfId="0" numFmtId="0" borderId="0" applyFont="1" fontId="290">
      <alignment vertical="bottom" horizontal="left"/>
    </xf>
    <xf applyAlignment="1" fillId="0" xfId="0" numFmtId="218" borderId="0" applyFont="1" fontId="291" applyNumberFormat="1">
      <alignment vertical="bottom" horizontal="left"/>
    </xf>
    <xf applyBorder="1" applyAlignment="1" fillId="0" xfId="0" numFmtId="0" borderId="217" applyFont="1" fontId="292">
      <alignment vertical="top" horizontal="general"/>
    </xf>
    <xf applyBorder="1" fillId="115" xfId="0" numFmtId="0" borderId="218" applyFont="1" fontId="293" applyFill="1"/>
    <xf applyAlignment="1" fillId="0" xfId="0" numFmtId="0" borderId="0" applyFont="1" fontId="294">
      <alignment vertical="center" horizontal="left"/>
    </xf>
    <xf applyBorder="1" applyAlignment="1" fillId="116" xfId="0" numFmtId="219" borderId="219" applyFont="1" fontId="295" applyNumberFormat="1" applyFill="1">
      <alignment vertical="bottom" horizontal="left"/>
    </xf>
    <xf applyBorder="1" applyAlignment="1" fillId="0" xfId="0" numFmtId="9" borderId="220" applyFont="1" fontId="296" applyNumberFormat="1">
      <alignment vertical="bottom" horizontal="left"/>
    </xf>
    <xf fillId="117" xfId="0" numFmtId="220" borderId="0" applyFont="1" fontId="297" applyNumberFormat="1" applyFill="1"/>
    <xf applyBorder="1" applyAlignment="1" fillId="0" xfId="0" numFmtId="221" borderId="221" applyFont="1" fontId="298" applyNumberFormat="1">
      <alignment vertical="bottom" horizontal="left"/>
    </xf>
    <xf applyBorder="1" fillId="0" xfId="0" numFmtId="0" borderId="222" applyFont="1" fontId="299"/>
    <xf applyBorder="1" applyAlignment="1" fillId="0" xfId="0" numFmtId="0" borderId="223" applyFont="1" fontId="300">
      <alignment vertical="bottom" horizontal="center"/>
    </xf>
    <xf applyBorder="1" applyAlignment="1" fillId="118" xfId="0" numFmtId="222" borderId="224" applyFont="1" fontId="301" applyNumberFormat="1" applyFill="1">
      <alignment vertical="bottom" horizontal="left"/>
    </xf>
    <xf applyBorder="1" applyAlignment="1" fillId="0" xfId="0" numFmtId="223" borderId="225" applyFont="1" fontId="302" applyNumberFormat="1">
      <alignment vertical="bottom" horizontal="left"/>
    </xf>
    <xf applyAlignment="1" fillId="0" xfId="0" numFmtId="0" borderId="0" applyFont="1" fontId="303">
      <alignment vertical="center" horizontal="general"/>
    </xf>
    <xf applyBorder="1" applyAlignment="1" fillId="0" xfId="0" numFmtId="0" borderId="226" applyFont="1" fontId="304">
      <alignment vertical="center" horizontal="general"/>
    </xf>
    <xf applyBorder="1" applyAlignment="1" fillId="119" xfId="0" numFmtId="224" borderId="227" applyFont="1" fontId="305" applyNumberFormat="1" applyFill="1">
      <alignment vertical="bottom" horizontal="left"/>
    </xf>
    <xf applyBorder="1" applyAlignment="1" fillId="120" xfId="0" numFmtId="0" borderId="228" applyFont="1" fontId="306" applyFill="1">
      <alignment vertical="bottom" horizontal="center"/>
    </xf>
    <xf fillId="0" xfId="0" numFmtId="0" borderId="0" applyFont="1" fontId="307"/>
    <xf applyBorder="1" applyAlignment="1" fillId="121" xfId="0" numFmtId="0" borderId="229" applyFont="1" fontId="308" applyFill="1">
      <alignment vertical="top" horizontal="center" wrapText="1"/>
    </xf>
    <xf applyAlignment="1" fillId="0" xfId="0" numFmtId="0" borderId="0" applyFont="1" fontId="309">
      <alignment vertical="center" horizontal="center"/>
    </xf>
    <xf applyBorder="1" applyAlignment="1" fillId="0" xfId="0" numFmtId="225" borderId="230" applyFont="1" fontId="310" applyNumberFormat="1">
      <alignment vertical="center" horizontal="right"/>
    </xf>
    <xf applyAlignment="1" fillId="0" xfId="0" numFmtId="226" borderId="0" applyFont="1" fontId="311" applyNumberFormat="1">
      <alignment vertical="top" horizontal="left" wrapText="1"/>
    </xf>
    <xf applyBorder="1" fillId="122" xfId="0" numFmtId="0" borderId="231" applyFont="1" fontId="312" applyFill="1"/>
    <xf applyBorder="1" applyAlignment="1" fillId="123" xfId="0" numFmtId="0" borderId="232" applyFont="1" fontId="313" applyFill="1">
      <alignment vertical="top" horizontal="general" wrapText="1"/>
    </xf>
    <xf applyAlignment="1" fillId="0" xfId="0" numFmtId="0" borderId="0" applyFont="1" fontId="314">
      <alignment vertical="center" horizontal="center"/>
    </xf>
    <xf applyAlignment="1" fillId="124" xfId="0" numFmtId="9" borderId="0" applyFont="1" fontId="315" applyNumberFormat="1" applyFill="1">
      <alignment vertical="center" horizontal="right"/>
    </xf>
    <xf applyBorder="1" fillId="125" xfId="0" numFmtId="0" borderId="233" applyFont="1" fontId="316" applyFill="1"/>
    <xf applyAlignment="1" fillId="0" xfId="0" numFmtId="0" borderId="0" applyFont="1" fontId="317">
      <alignment vertical="bottom" horizontal="right"/>
    </xf>
    <xf applyBorder="1" fillId="126" xfId="0" numFmtId="0" borderId="234" applyFont="1" fontId="318" applyFill="1"/>
    <xf applyBorder="1" applyAlignment="1" fillId="0" xfId="0" numFmtId="227" borderId="235" applyFont="1" fontId="319" applyNumberFormat="1">
      <alignment vertical="center" horizontal="right"/>
    </xf>
    <xf applyBorder="1" applyAlignment="1" fillId="0" xfId="0" numFmtId="0" borderId="236" applyFont="1" fontId="320">
      <alignment vertical="center" horizontal="general"/>
    </xf>
    <xf applyBorder="1" applyAlignment="1" fillId="0" xfId="0" numFmtId="228" borderId="237" applyFont="1" fontId="321" applyNumberFormat="1">
      <alignment vertical="center" horizontal="right"/>
    </xf>
    <xf applyBorder="1" fillId="0" xfId="0" numFmtId="0" borderId="238" applyFont="1" fontId="322"/>
    <xf applyBorder="1" applyAlignment="1" fillId="127" xfId="0" numFmtId="0" borderId="239" applyFont="1" fontId="323" applyFill="1">
      <alignment vertical="top" horizontal="center" wrapText="1"/>
    </xf>
    <xf applyBorder="1" applyAlignment="1" fillId="128" xfId="0" numFmtId="0" borderId="240" applyFont="1" fontId="324" applyFill="1">
      <alignment vertical="top" horizontal="center" wrapText="1"/>
    </xf>
    <xf applyBorder="1" applyAlignment="1" fillId="0" xfId="0" numFmtId="229" borderId="241" applyFont="1" fontId="325" applyNumberFormat="1">
      <alignment vertical="bottom" horizontal="left"/>
    </xf>
    <xf applyBorder="1" applyAlignment="1" fillId="0" xfId="0" numFmtId="230" borderId="242" applyFont="1" fontId="326" applyNumberFormat="1">
      <alignment vertical="center" horizontal="right"/>
    </xf>
    <xf applyBorder="1" applyAlignment="1" fillId="129" xfId="0" numFmtId="9" borderId="243" applyFont="1" fontId="327" applyNumberFormat="1" applyFill="1">
      <alignment vertical="bottom" horizontal="left"/>
    </xf>
    <xf applyBorder="1" applyAlignment="1" fillId="0" xfId="0" numFmtId="231" borderId="244" applyFont="1" fontId="328" applyNumberFormat="1">
      <alignment vertical="center" horizontal="right"/>
    </xf>
    <xf applyBorder="1" applyAlignment="1" fillId="130" xfId="0" numFmtId="0" borderId="245" applyFont="1" fontId="329" applyFill="1">
      <alignment vertical="center" horizontal="general"/>
    </xf>
    <xf applyBorder="1" fillId="131" xfId="0" numFmtId="0" borderId="246" applyFont="1" fontId="330" applyFill="1"/>
    <xf applyBorder="1" applyAlignment="1" fillId="0" xfId="0" numFmtId="0" borderId="247" applyFont="1" fontId="331">
      <alignment vertical="top" horizontal="general" wrapText="1"/>
    </xf>
    <xf applyBorder="1" applyAlignment="1" fillId="132" xfId="0" numFmtId="0" borderId="248" applyFont="1" fontId="332" applyFill="1">
      <alignment vertical="center" horizontal="left"/>
    </xf>
    <xf fillId="0" xfId="0" numFmtId="2" borderId="0" applyFont="1" fontId="333" applyNumberFormat="1"/>
    <xf applyBorder="1" applyAlignment="1" fillId="133" xfId="0" numFmtId="0" borderId="249" applyFont="1" fontId="334" applyFill="1">
      <alignment vertical="bottom" horizontal="left"/>
    </xf>
    <xf applyBorder="1" applyAlignment="1" fillId="0" xfId="0" numFmtId="0" borderId="250" applyFont="1" fontId="335">
      <alignment vertical="bottom" horizontal="left"/>
    </xf>
    <xf applyBorder="1" applyAlignment="1" fillId="0" xfId="0" numFmtId="232" borderId="251" applyFont="1" fontId="336" applyNumberFormat="1">
      <alignment vertical="bottom" horizontal="left"/>
    </xf>
    <xf applyAlignment="1" fillId="0" xfId="0" numFmtId="0" borderId="0" applyFont="1" fontId="337">
      <alignment vertical="top" horizontal="general" wrapText="1"/>
    </xf>
    <xf applyBorder="1" applyAlignment="1" fillId="134" xfId="0" numFmtId="0" borderId="252" applyFont="1" fontId="338" applyFill="1">
      <alignment vertical="center" horizontal="general"/>
    </xf>
    <xf applyBorder="1" fillId="0" xfId="0" numFmtId="0" borderId="253" applyFont="1" fontId="339"/>
    <xf applyBorder="1" fillId="0" xfId="0" numFmtId="0" borderId="254" applyFont="1" fontId="340"/>
    <xf applyBorder="1" fillId="0" xfId="0" numFmtId="0" borderId="255" applyFont="1" fontId="341"/>
    <xf applyBorder="1" fillId="0" xfId="0" numFmtId="0" borderId="256" applyFont="1" fontId="342"/>
    <xf fillId="135" xfId="0" numFmtId="0" borderId="0" applyFont="1" fontId="343" applyFill="1"/>
    <xf applyBorder="1" applyAlignment="1" fillId="136" xfId="0" numFmtId="233" borderId="257" applyFont="1" fontId="344" applyNumberFormat="1" applyFill="1">
      <alignment vertical="bottom" horizontal="left"/>
    </xf>
    <xf applyBorder="1" applyAlignment="1" fillId="137" xfId="0" numFmtId="0" borderId="258" applyFont="1" fontId="345" applyFill="1">
      <alignment vertical="center" horizontal="left" wrapText="1"/>
    </xf>
    <xf applyBorder="1" fillId="138" xfId="0" numFmtId="0" borderId="259" applyFont="1" fontId="346" applyFill="1"/>
    <xf applyBorder="1" fillId="0" xfId="0" numFmtId="0" borderId="260" applyFont="1" fontId="347"/>
    <xf applyBorder="1" applyAlignment="1" fillId="0" xfId="0" numFmtId="0" borderId="261" applyFont="1" fontId="348">
      <alignment vertical="center" horizontal="left"/>
    </xf>
    <xf applyAlignment="1" fillId="139" xfId="0" numFmtId="0" borderId="0" applyFont="1" fontId="349" applyFill="1">
      <alignment vertical="bottom" horizontal="left"/>
    </xf>
    <xf fillId="0" xfId="0" numFmtId="0" borderId="0" applyFont="1" fontId="350"/>
    <xf applyBorder="1" applyAlignment="1" fillId="140" xfId="0" numFmtId="0" borderId="262" applyFont="1" fontId="351" applyFill="1">
      <alignment vertical="top" horizontal="center" wrapText="1"/>
    </xf>
    <xf applyBorder="1" fillId="0" xfId="0" numFmtId="0" borderId="263" applyFont="1" fontId="352"/>
    <xf fillId="0" xfId="0" numFmtId="3" borderId="0" applyFont="1" fontId="353" applyNumberFormat="1"/>
    <xf applyBorder="1" fillId="0" xfId="0" numFmtId="234" borderId="264" applyFont="1" fontId="354" applyNumberFormat="1"/>
    <xf applyBorder="1" fillId="0" xfId="0" numFmtId="0" borderId="265" applyFont="1" fontId="355"/>
    <xf fillId="0" xfId="0" numFmtId="0" borderId="0" applyFont="1" fontId="356"/>
    <xf applyAlignment="1" fillId="0" xfId="0" numFmtId="0" borderId="0" applyFont="1" fontId="357">
      <alignment vertical="center" horizontal="general"/>
    </xf>
    <xf applyBorder="1" applyAlignment="1" fillId="141" xfId="0" numFmtId="0" borderId="266" applyFont="1" fontId="358" applyFill="1">
      <alignment vertical="center" horizontal="right"/>
    </xf>
    <xf applyBorder="1" fillId="0" xfId="0" numFmtId="0" borderId="267" applyFont="1" fontId="359"/>
    <xf applyAlignment="1" fillId="0" xfId="0" numFmtId="235" borderId="0" applyFont="1" fontId="360" applyNumberFormat="1">
      <alignment vertical="top" horizontal="center" wrapText="1"/>
    </xf>
    <xf applyBorder="1" applyAlignment="1" fillId="142" xfId="0" numFmtId="0" borderId="268" applyFont="1" fontId="361" applyFill="1">
      <alignment vertical="bottom" horizontal="center"/>
    </xf>
    <xf applyBorder="1" applyAlignment="1" fillId="0" xfId="0" numFmtId="0" borderId="269" applyFont="1" fontId="362">
      <alignment vertical="center" horizontal="left" wrapText="1"/>
    </xf>
    <xf applyBorder="1" applyAlignment="1" fillId="143" xfId="0" numFmtId="0" borderId="270" applyFont="1" fontId="363" applyFill="1">
      <alignment vertical="bottom" horizontal="center"/>
    </xf>
    <xf applyBorder="1" fillId="0" xfId="0" numFmtId="0" borderId="271" applyFont="1" fontId="364"/>
    <xf applyBorder="1" applyAlignment="1" fillId="144" xfId="0" numFmtId="0" borderId="272" applyFont="1" fontId="365" applyFill="1">
      <alignment vertical="top" horizontal="general" wrapText="1"/>
    </xf>
    <xf applyBorder="1" applyAlignment="1" fillId="0" xfId="0" numFmtId="0" borderId="273" applyFont="1" fontId="366">
      <alignment vertical="top" horizontal="general"/>
    </xf>
    <xf applyBorder="1" fillId="145" xfId="0" numFmtId="0" borderId="274" applyFont="1" fontId="367" applyFill="1"/>
    <xf applyBorder="1" applyAlignment="1" fillId="146" xfId="0" numFmtId="0" borderId="275" applyFont="1" fontId="368" applyFill="1">
      <alignment vertical="top" horizontal="center" wrapText="1"/>
    </xf>
    <xf applyBorder="1" fillId="0" xfId="0" numFmtId="0" borderId="276" applyFont="1" fontId="369"/>
    <xf applyAlignment="1" fillId="147" xfId="0" numFmtId="0" borderId="0" applyFont="1" fontId="370" applyFill="1">
      <alignment vertical="top" horizontal="general" wrapText="1"/>
    </xf>
    <xf applyBorder="1" fillId="0" xfId="0" numFmtId="0" borderId="277" applyFont="1" fontId="371"/>
    <xf applyBorder="1" fillId="0" xfId="0" numFmtId="0" borderId="278" applyFont="1" fontId="372"/>
    <xf applyAlignment="1" fillId="0" xfId="0" numFmtId="0" borderId="0" applyFont="1" fontId="373">
      <alignment vertical="top" horizontal="general" wrapText="1"/>
    </xf>
    <xf applyBorder="1" fillId="0" xfId="0" numFmtId="0" borderId="279" applyFont="1" fontId="374"/>
    <xf applyBorder="1" applyAlignment="1" fillId="148" xfId="0" numFmtId="236" borderId="280" applyFont="1" fontId="375" applyNumberFormat="1" applyFill="1">
      <alignment vertical="top" horizontal="center" wrapText="1"/>
    </xf>
    <xf applyBorder="1" fillId="0" xfId="0" numFmtId="0" borderId="281" applyFont="1" fontId="376"/>
    <xf applyBorder="1" applyAlignment="1" fillId="149" xfId="0" numFmtId="0" borderId="282" applyFont="1" fontId="377" applyFill="1">
      <alignment vertical="top" horizontal="center" wrapText="1"/>
    </xf>
    <xf applyBorder="1" fillId="150" xfId="0" numFmtId="0" borderId="283" applyFont="1" fontId="378" applyFill="1"/>
    <xf applyBorder="1" fillId="0" xfId="0" numFmtId="0" borderId="284" applyFont="1" fontId="379"/>
    <xf applyBorder="1" fillId="0" xfId="0" numFmtId="0" borderId="285" applyFont="1" fontId="380"/>
    <xf applyBorder="1" applyAlignment="1" fillId="151" xfId="0" numFmtId="0" borderId="286" applyFont="1" fontId="381" applyFill="1">
      <alignment vertical="top" horizontal="general" wrapText="1"/>
    </xf>
    <xf applyBorder="1" applyAlignment="1" fillId="152" xfId="0" numFmtId="0" borderId="287" applyFont="1" fontId="382" applyFill="1">
      <alignment vertical="top" horizontal="general"/>
    </xf>
    <xf applyBorder="1" applyAlignment="1" fillId="0" xfId="0" numFmtId="0" borderId="288" applyFont="1" fontId="383">
      <alignment vertical="center" horizontal="general"/>
    </xf>
    <xf applyBorder="1" fillId="153" xfId="0" numFmtId="0" borderId="289" applyFont="1" fontId="384" applyFill="1"/>
    <xf applyBorder="1" applyAlignment="1" fillId="0" xfId="0" numFmtId="0" borderId="290" applyFont="1" fontId="385">
      <alignment vertical="center" horizontal="general"/>
    </xf>
    <xf fillId="154" xfId="0" numFmtId="0" borderId="0" applyFont="1" fontId="386" applyFill="1"/>
    <xf applyBorder="1" fillId="0" xfId="0" numFmtId="0" borderId="291" applyFont="1" fontId="387"/>
    <xf fillId="0" xfId="0" numFmtId="10" borderId="0" applyFont="1" fontId="388" applyNumberFormat="1"/>
    <xf applyBorder="1" applyAlignment="1" fillId="0" xfId="0" numFmtId="0" borderId="292" applyFont="1" fontId="389">
      <alignment vertical="top" horizontal="left" wrapText="1"/>
    </xf>
    <xf applyAlignment="1" fillId="0" xfId="0" numFmtId="0" borderId="0" applyFont="1" fontId="390">
      <alignment vertical="top" horizontal="left" wrapText="1"/>
    </xf>
    <xf applyBorder="1" applyAlignment="1" fillId="0" xfId="0" numFmtId="0" borderId="293" applyFont="1" fontId="391">
      <alignment vertical="center" horizontal="left" wrapText="1"/>
    </xf>
    <xf applyBorder="1" fillId="0" xfId="0" numFmtId="0" borderId="294" applyFont="1" fontId="392"/>
    <xf applyAlignment="1" fillId="0" xfId="0" numFmtId="0" borderId="0" applyFont="1" fontId="393">
      <alignment vertical="center" horizontal="center"/>
    </xf>
    <xf applyBorder="1" applyAlignment="1" fillId="0" xfId="0" numFmtId="0" borderId="295" applyFont="1" fontId="394">
      <alignment vertical="top" horizontal="general"/>
    </xf>
    <xf applyBorder="1" fillId="155" xfId="0" numFmtId="0" borderId="296" applyFont="1" fontId="395" applyFill="1"/>
    <xf applyBorder="1" fillId="0" xfId="0" numFmtId="237" borderId="297" applyFont="1" fontId="396" applyNumberFormat="1"/>
    <xf applyAlignment="1" fillId="0" xfId="0" numFmtId="9" borderId="0" applyFont="1" fontId="397" applyNumberFormat="1">
      <alignment vertical="bottom" horizontal="center"/>
    </xf>
    <xf applyBorder="1" applyAlignment="1" fillId="0" xfId="0" numFmtId="9" borderId="298" applyFont="1" fontId="398" applyNumberFormat="1">
      <alignment vertical="top" horizontal="left" wrapText="1"/>
    </xf>
    <xf applyBorder="1" applyAlignment="1" fillId="0" xfId="0" numFmtId="0" borderId="299" applyFont="1" fontId="399">
      <alignment vertical="center" horizontal="general"/>
    </xf>
    <xf applyBorder="1" applyAlignment="1" fillId="0" xfId="0" numFmtId="0" borderId="300" applyFont="1" fontId="400">
      <alignment vertical="center" horizontal="general"/>
    </xf>
    <xf applyBorder="1" fillId="0" xfId="0" numFmtId="238" borderId="301" applyFont="1" fontId="401" applyNumberFormat="1"/>
    <xf applyBorder="1" fillId="0" xfId="0" numFmtId="0" borderId="302" applyFont="1" fontId="402"/>
    <xf applyBorder="1" applyAlignment="1" fillId="0" xfId="0" numFmtId="0" borderId="303" applyFont="1" fontId="403">
      <alignment vertical="bottom" horizontal="left"/>
    </xf>
    <xf applyBorder="1" applyAlignment="1" fillId="0" xfId="0" numFmtId="0" borderId="304" applyFont="1" fontId="404">
      <alignment vertical="center" horizontal="right"/>
    </xf>
    <xf applyBorder="1" applyAlignment="1" fillId="0" xfId="0" numFmtId="9" borderId="305" applyFont="1" fontId="405" applyNumberFormat="1">
      <alignment vertical="bottom" horizontal="center"/>
    </xf>
    <xf applyBorder="1" applyAlignment="1" fillId="0" xfId="0" numFmtId="0" borderId="306" applyFont="1" fontId="406">
      <alignment vertical="top" horizontal="general"/>
    </xf>
    <xf applyAlignment="1" fillId="0" xfId="0" numFmtId="0" borderId="0" applyFont="1" fontId="407">
      <alignment vertical="center" horizontal="general"/>
    </xf>
    <xf applyAlignment="1" fillId="0" xfId="0" numFmtId="0" borderId="0" applyFont="1" fontId="408">
      <alignment vertical="bottom" horizontal="right"/>
    </xf>
    <xf fillId="156" xfId="0" numFmtId="0" borderId="0" applyFont="1" fontId="409" applyFill="1"/>
    <xf applyBorder="1" applyAlignment="1" fillId="0" xfId="0" numFmtId="0" borderId="307" applyFont="1" fontId="410">
      <alignment vertical="top" horizontal="general"/>
    </xf>
    <xf applyAlignment="1" fillId="0" xfId="0" numFmtId="239" borderId="0" applyFont="1" fontId="411" applyNumberFormat="1">
      <alignment vertical="top" horizontal="general"/>
    </xf>
    <xf applyBorder="1" applyAlignment="1" fillId="157" xfId="0" numFmtId="240" borderId="308" applyFont="1" fontId="412" applyNumberFormat="1" applyFill="1">
      <alignment vertical="bottom" horizontal="center"/>
    </xf>
    <xf applyBorder="1" fillId="158" xfId="0" numFmtId="0" borderId="309" applyFont="1" fontId="413" applyFill="1"/>
    <xf applyBorder="1" fillId="159" xfId="0" numFmtId="0" borderId="310" applyFont="1" fontId="414" applyFill="1"/>
    <xf applyBorder="1" applyAlignment="1" fillId="160" xfId="0" numFmtId="241" borderId="311" applyFont="1" fontId="415" applyNumberFormat="1" applyFill="1">
      <alignment vertical="bottom" horizontal="center"/>
    </xf>
    <xf applyAlignment="1" fillId="0" xfId="0" numFmtId="9" borderId="0" applyFont="1" fontId="416" applyNumberFormat="1">
      <alignment vertical="center" horizontal="general"/>
    </xf>
    <xf applyAlignment="1" fillId="0" xfId="0" numFmtId="0" borderId="0" applyFont="1" fontId="417">
      <alignment vertical="bottom" horizontal="center"/>
    </xf>
    <xf applyBorder="1" applyAlignment="1" fillId="161" xfId="0" numFmtId="0" borderId="312" applyFont="1" fontId="418" applyFill="1">
      <alignment vertical="top" horizontal="general"/>
    </xf>
    <xf applyBorder="1" applyAlignment="1" fillId="162" xfId="0" numFmtId="242" borderId="313" applyFont="1" fontId="419" applyNumberFormat="1" applyFill="1">
      <alignment vertical="bottom" horizontal="center"/>
    </xf>
    <xf applyAlignment="1" fillId="163" xfId="0" numFmtId="0" borderId="0" applyFont="1" fontId="420" applyFill="1">
      <alignment vertical="top" horizontal="center" wrapText="1"/>
    </xf>
    <xf applyBorder="1" applyAlignment="1" fillId="164" xfId="0" numFmtId="0" borderId="314" applyFont="1" fontId="421" applyFill="1">
      <alignment vertical="top" horizontal="center" wrapText="1"/>
    </xf>
    <xf applyBorder="1" fillId="0" xfId="0" numFmtId="0" borderId="315" applyFont="1" fontId="422"/>
    <xf applyBorder="1" applyAlignment="1" fillId="0" xfId="0" numFmtId="9" borderId="316" applyFont="1" fontId="423" applyNumberFormat="1">
      <alignment vertical="bottom" horizontal="center"/>
    </xf>
    <xf applyBorder="1" applyAlignment="1" fillId="0" xfId="0" numFmtId="243" borderId="317" applyFont="1" fontId="424" applyNumberFormat="1">
      <alignment vertical="center" horizontal="right"/>
    </xf>
    <xf applyBorder="1" applyAlignment="1" fillId="0" xfId="0" numFmtId="244" borderId="318" applyFont="1" fontId="425" applyNumberFormat="1">
      <alignment vertical="top" horizontal="left" wrapText="1"/>
    </xf>
    <xf fillId="0" xfId="0" numFmtId="245" borderId="0" applyFont="1" fontId="426" applyNumberFormat="1"/>
    <xf applyBorder="1" applyAlignment="1" fillId="0" xfId="0" numFmtId="9" borderId="319" applyFont="1" fontId="427" applyNumberFormat="1">
      <alignment vertical="top" horizontal="left" wrapText="1"/>
    </xf>
    <xf applyBorder="1" applyAlignment="1" fillId="165" xfId="0" numFmtId="0" borderId="320" applyFont="1" fontId="428" applyFill="1">
      <alignment vertical="top" horizontal="center" wrapText="1"/>
    </xf>
    <xf applyBorder="1" applyAlignment="1" fillId="0" xfId="0" numFmtId="0" borderId="321" applyFont="1" fontId="429">
      <alignment vertical="bottom" horizontal="left"/>
    </xf>
    <xf applyBorder="1" applyAlignment="1" fillId="0" xfId="0" numFmtId="0" borderId="322" applyFont="1" fontId="430">
      <alignment vertical="top" horizontal="general"/>
    </xf>
    <xf applyBorder="1" fillId="0" xfId="0" numFmtId="0" borderId="323" applyFont="1" fontId="431"/>
    <xf applyBorder="1" applyAlignment="1" fillId="0" xfId="0" numFmtId="246" borderId="324" applyFont="1" fontId="432" applyNumberFormat="1">
      <alignment vertical="bottom" horizontal="left"/>
    </xf>
    <xf applyBorder="1" fillId="0" xfId="0" numFmtId="0" borderId="325" applyFont="1" fontId="433"/>
    <xf applyBorder="1" applyAlignment="1" fillId="0" xfId="0" numFmtId="247" borderId="326" applyFont="1" fontId="434" applyNumberFormat="1">
      <alignment vertical="center" horizontal="right"/>
    </xf>
    <xf applyBorder="1" fillId="0" xfId="0" numFmtId="0" borderId="327" applyFont="1" fontId="435"/>
    <xf applyBorder="1" applyAlignment="1" fillId="166" xfId="0" numFmtId="0" borderId="328" applyFont="1" fontId="436" applyFill="1">
      <alignment vertical="bottom" horizontal="center"/>
    </xf>
    <xf applyBorder="1" applyAlignment="1" fillId="167" xfId="0" numFmtId="248" borderId="329" applyFont="1" fontId="437" applyNumberFormat="1" applyFill="1">
      <alignment vertical="bottom" horizontal="center"/>
    </xf>
    <xf applyBorder="1" fillId="168" xfId="0" numFmtId="0" borderId="330" applyFont="1" fontId="438" applyFill="1"/>
    <xf applyBorder="1" applyAlignment="1" fillId="169" xfId="0" numFmtId="0" borderId="331" applyFont="1" fontId="439" applyFill="1">
      <alignment vertical="top" horizontal="center" wrapText="1"/>
    </xf>
    <xf applyBorder="1" fillId="0" xfId="0" numFmtId="0" borderId="332" applyFont="1" fontId="440"/>
  </cellXfs>
  <cellStyles count="1">
    <cellStyle builtinId="0" name="Normal" xfId="0"/>
  </cellStyles>
  <dxfs count="1">
    <dxf>
      <font>
        <color rgb="FF9C0006"/>
      </font>
      <fill>
        <patternFill patternType="solid">
          <bgColor rgb="FFFFC7CE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>
                <a:solidFill>
                  <a:srgbClr val="595959"/>
                </a:solidFill>
              </a:defRPr>
            </a:pPr>
            <a:r>
              <a:t>VOLUME DISCOUNT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'Volume Discount Rate Schedule'!$A$5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'Volume Discount Rate Schedule'!$B$4:$F$4</c:f>
            </c:strRef>
          </c:cat>
          <c:val>
            <c:numRef>
              <c:f>'Volume Discount Rate Schedule'!$B$5:$F$5</c:f>
            </c:numRef>
          </c:val>
        </c:ser>
        <c:ser>
          <c:idx val="1"/>
          <c:order val="1"/>
          <c:tx>
            <c:strRef>
              <c:f>'Volume Discount Rate Schedule'!$A$6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'Volume Discount Rate Schedule'!$B$4:$F$4</c:f>
            </c:strRef>
          </c:cat>
          <c:val>
            <c:numRef>
              <c:f>'Volume Discount Rate Schedule'!$B$6:$F$6</c:f>
            </c:numRef>
          </c:val>
        </c:ser>
        <c:ser>
          <c:idx val="2"/>
          <c:order val="2"/>
          <c:tx>
            <c:strRef>
              <c:f>'Volume Discount Rate Schedule'!$A$7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'Volume Discount Rate Schedule'!$B$4:$F$4</c:f>
            </c:strRef>
          </c:cat>
          <c:val>
            <c:numRef>
              <c:f>'Volume Discount Rate Schedule'!$B$7:$F$7</c:f>
            </c:numRef>
          </c:val>
        </c:ser>
        <c:ser>
          <c:idx val="3"/>
          <c:order val="3"/>
          <c:tx>
            <c:strRef>
              <c:f>'Volume Discount Rate Schedule'!$A$8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'Volume Discount Rate Schedule'!$B$4:$F$4</c:f>
            </c:strRef>
          </c:cat>
          <c:val>
            <c:numRef>
              <c:f>'Volume Discount Rate Schedule'!$B$8:$F$8</c:f>
            </c:numRef>
          </c:val>
        </c:ser>
        <c:axId val="681582473"/>
        <c:axId val="1086433491"/>
      </c:lineChart>
      <c:catAx>
        <c:axId val="681582473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086433491"/>
      </c:catAx>
      <c:valAx>
        <c:axId val="1086433491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81582473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2"/><Relationship Target="../media/image02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714375" cx="34004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714375" cx="34004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171450</xdr:colOff>
      <xdr:row>10</xdr:row>
      <xdr:rowOff>47625</xdr:rowOff>
    </xdr:from>
    <xdr:ext cy="5143500" cx="79914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8</xdr:row>
      <xdr:rowOff>152400</xdr:rowOff>
    </xdr:from>
    <xdr:ext cy="5543550" cx="9848850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543550" cx="9848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36</xdr:row>
      <xdr:rowOff>152400</xdr:rowOff>
    </xdr:from>
    <xdr:ext cy="6200775" cx="9258300"/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6200775" cx="9258300"/>
        </a:xfrm>
        <a:prstGeom prst="rect">
          <a:avLst/>
        </a:prstGeom>
        <a:noFill/>
      </xdr:spPr>
    </xdr:pic>
    <xdr:clientData fLocksWithSheet="0"/>
  </xdr:oneCellAnchor>
</xdr:wsDr>
</file>

<file path=xl/worksheets/_rels/sheet2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1.57"/>
    <col min="5" customWidth="1" max="5" width="36.43"/>
    <col min="8" customWidth="1" max="8" width="47.0"/>
    <col min="10" customWidth="1" max="10" width="40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</row>
    <row r="3">
      <c t="str" r="A3">
        <f>'Unit Prices'!A2</f>
        <v>COMPUTE</v>
      </c>
      <c t="str" r="B3">
        <f>'Unit Prices'!B2</f>
        <v/>
      </c>
      <c t="str" r="C3">
        <f>'Unit Prices'!C2</f>
        <v/>
      </c>
      <c t="str" r="D3">
        <f>'Unit Prices'!D2</f>
        <v/>
      </c>
      <c t="str" r="E3">
        <f>'Unit Prices'!E2</f>
        <v/>
      </c>
      <c t="str" r="F3">
        <f>'Unit Prices'!F2</f>
        <v/>
      </c>
      <c t="str" r="G3">
        <f>'Unit Prices'!G2</f>
        <v/>
      </c>
      <c t="str" r="H3">
        <f>'Unit Prices'!H2</f>
        <v/>
      </c>
      <c t="str" r="I3">
        <f>'Unit Prices'!I2</f>
        <v/>
      </c>
    </row>
    <row r="4">
      <c t="str" r="A4">
        <f>'Unit Prices'!A3</f>
        <v>CSP</v>
      </c>
      <c t="str" r="B4">
        <f>'Unit Prices'!B3</f>
        <v>REGION</v>
      </c>
      <c t="str" r="C4">
        <f>'Unit Prices'!C3</f>
        <v>PRODUCT TYPE</v>
      </c>
      <c t="str" r="D4">
        <f>'Unit Prices'!D3</f>
        <v>CATEGORY</v>
      </c>
      <c t="str" r="E4">
        <f>'Unit Prices'!E3</f>
        <v>PRODUCT</v>
      </c>
      <c t="str" r="F4">
        <f>'Unit Prices'!F3</f>
        <v>BILLING UNIT</v>
      </c>
      <c t="str" r="G4">
        <f>'Unit Prices'!G3</f>
        <v>CURRENCY</v>
      </c>
      <c t="str" r="H4">
        <f>'Unit Prices'!H3</f>
        <v>SKU</v>
      </c>
      <c t="str" r="I4">
        <f>'Unit Prices'!I3</f>
        <v>PRICE</v>
      </c>
    </row>
    <row r="5">
      <c t="str" r="A5">
        <f>'Unit Prices'!A4</f>
        <v>LINUX INSTANCES, CENTOS OR UBUNTU</v>
      </c>
      <c t="str" r="B5">
        <f>'Unit Prices'!B4</f>
        <v/>
      </c>
      <c t="str" r="C5">
        <f>'Unit Prices'!C4</f>
        <v/>
      </c>
      <c t="str" r="D5">
        <f>'Unit Prices'!D4</f>
        <v/>
      </c>
      <c t="str" r="E5">
        <f>'Unit Prices'!E4</f>
        <v/>
      </c>
      <c t="str" r="F5">
        <f>'Unit Prices'!F4</f>
        <v/>
      </c>
      <c t="str" r="G5">
        <f>'Unit Prices'!G4</f>
        <v/>
      </c>
      <c t="str" r="H5">
        <f>'Unit Prices'!H4</f>
        <v/>
      </c>
      <c t="str" r="I5">
        <f>'Unit Prices'!I4</f>
        <v/>
      </c>
    </row>
    <row r="6">
      <c t="str" r="A6">
        <f>'Unit Prices'!A5</f>
        <v>SHARED INSTANCES</v>
      </c>
      <c t="str" r="B6">
        <f>'Unit Prices'!B5</f>
        <v/>
      </c>
      <c t="str" r="C6">
        <f>'Unit Prices'!C5</f>
        <v/>
      </c>
      <c t="str" r="D6">
        <f>'Unit Prices'!D5</f>
        <v/>
      </c>
      <c t="str" r="E6">
        <f>'Unit Prices'!E5</f>
        <v/>
      </c>
      <c t="str" r="F6">
        <f>'Unit Prices'!F5</f>
        <v/>
      </c>
      <c t="str" r="G6">
        <f>'Unit Prices'!G5</f>
        <v/>
      </c>
      <c t="str" r="H6">
        <f>'Unit Prices'!H5</f>
        <v/>
      </c>
      <c t="str" r="I6">
        <f>'Unit Prices'!I5</f>
        <v/>
      </c>
    </row>
    <row r="7">
      <c t="str" r="A7">
        <f>'Unit Prices'!A6</f>
        <v>ANY</v>
      </c>
      <c t="str" r="B7">
        <f>'Unit Prices'!B6</f>
        <v>US-EAST</v>
      </c>
      <c t="str" r="C7">
        <f>'Unit Prices'!C6</f>
        <v>STANDARD</v>
      </c>
      <c t="str" r="D7">
        <f>'Unit Prices'!D6</f>
        <v>Compute</v>
      </c>
      <c t="str" r="E7">
        <f>'Unit Prices'!E6</f>
        <v>Medium Instance Type</v>
      </c>
      <c t="str" r="F7">
        <f>'Unit Prices'!F6</f>
        <v>Hourly</v>
      </c>
      <c t="str" r="G7">
        <f>'Unit Prices'!G6</f>
        <v>USD</v>
      </c>
      <c t="str" r="H7">
        <f>'Unit Prices'!H6</f>
        <v>ANY-USE-STND-CMP-MED-LINF-HR-USD</v>
      </c>
      <c r="I7">
        <f>'Unit Prices'!I6</f>
        <v>0.1225</v>
      </c>
      <c t="str" r="J7">
        <f>'Unit Prices'!A4</f>
        <v>LINUX INSTANCES, CENTOS OR UBUNTU</v>
      </c>
    </row>
    <row r="8">
      <c t="str" r="A8">
        <f>'Unit Prices'!A7</f>
        <v>ANY</v>
      </c>
      <c t="str" r="B8">
        <f>'Unit Prices'!B7</f>
        <v>US-EAST</v>
      </c>
      <c t="str" r="C8">
        <f>'Unit Prices'!C7</f>
        <v>STANDARD</v>
      </c>
      <c t="str" r="D8">
        <f>'Unit Prices'!D7</f>
        <v>Compute</v>
      </c>
      <c t="str" r="E8">
        <f>'Unit Prices'!E7</f>
        <v>Large Instance Type</v>
      </c>
      <c t="str" r="F8">
        <f>'Unit Prices'!F7</f>
        <v>Hourly</v>
      </c>
      <c t="str" r="G8">
        <f>'Unit Prices'!G7</f>
        <v>USD</v>
      </c>
      <c t="str" r="H8">
        <f>'Unit Prices'!H7</f>
        <v>ANY-USE-STND-CMP-L-LINF-HR-USD</v>
      </c>
      <c r="I8">
        <f>'Unit Prices'!I7</f>
        <v>0.245</v>
      </c>
      <c t="str" r="J8">
        <f>'Unit Prices'!A4</f>
        <v>LINUX INSTANCES, CENTOS OR UBUNTU</v>
      </c>
    </row>
    <row r="9">
      <c t="str" r="A9">
        <f>'Unit Prices'!A8</f>
        <v>ANY</v>
      </c>
      <c t="str" r="B9">
        <f>'Unit Prices'!B8</f>
        <v>US-EAST</v>
      </c>
      <c t="str" r="C9">
        <f>'Unit Prices'!C8</f>
        <v>STANDARD</v>
      </c>
      <c t="str" r="D9">
        <f>'Unit Prices'!D8</f>
        <v>Compute</v>
      </c>
      <c t="str" r="E9">
        <f>'Unit Prices'!E8</f>
        <v>x Large Instance Type</v>
      </c>
      <c t="str" r="F9">
        <f>'Unit Prices'!F8</f>
        <v>Hourly</v>
      </c>
      <c t="str" r="G9">
        <f>'Unit Prices'!G8</f>
        <v>USD</v>
      </c>
      <c t="str" r="H9">
        <f>'Unit Prices'!H8</f>
        <v>ANY-USE-STND-CMP-XL-LINF-HR-USD</v>
      </c>
      <c r="I9">
        <f>'Unit Prices'!I8</f>
        <v>0.49</v>
      </c>
      <c t="str" r="J9">
        <f>'Unit Prices'!A4</f>
        <v>LINUX INSTANCES, CENTOS OR UBUNTU</v>
      </c>
    </row>
    <row r="10">
      <c t="str" r="A10">
        <f>'Unit Prices'!A9</f>
        <v>ANY</v>
      </c>
      <c t="str" r="B10">
        <f>'Unit Prices'!B9</f>
        <v>US-EAST</v>
      </c>
      <c t="str" r="C10">
        <f>'Unit Prices'!C9</f>
        <v>STANDARD</v>
      </c>
      <c t="str" r="D10">
        <f>'Unit Prices'!D9</f>
        <v>Compute</v>
      </c>
      <c t="str" r="E10">
        <f>'Unit Prices'!E9</f>
        <v>2x Large Instance Type</v>
      </c>
      <c t="str" r="F10">
        <f>'Unit Prices'!F9</f>
        <v>Hourly</v>
      </c>
      <c t="str" r="G10">
        <f>'Unit Prices'!G9</f>
        <v>USD</v>
      </c>
      <c t="str" r="H10">
        <f>'Unit Prices'!H9</f>
        <v>ANY-USE-STND-CMP-2XL-LINF-HR-USD</v>
      </c>
      <c r="I10">
        <f>'Unit Prices'!I9</f>
        <v>0.98</v>
      </c>
      <c t="str" r="J10">
        <f>'Unit Prices'!A4</f>
        <v>LINUX INSTANCES, CENTOS OR UBUNTU</v>
      </c>
    </row>
    <row r="11">
      <c t="str" r="A11">
        <f>'Unit Prices'!A10</f>
        <v>ANY</v>
      </c>
      <c t="str" r="B11">
        <f>'Unit Prices'!B10</f>
        <v>US-EAST</v>
      </c>
      <c t="str" r="C11">
        <f>'Unit Prices'!C10</f>
        <v>STANDARD</v>
      </c>
      <c t="str" r="D11">
        <f>'Unit Prices'!D10</f>
        <v>Compute</v>
      </c>
      <c t="str" r="E11">
        <f>'Unit Prices'!E10</f>
        <v>Large Instance Type, Gen 2</v>
      </c>
      <c t="str" r="F11">
        <f>'Unit Prices'!F10</f>
        <v>Hourly</v>
      </c>
      <c t="str" r="G11">
        <f>'Unit Prices'!G10</f>
        <v>USD</v>
      </c>
      <c t="str" r="H11">
        <f>'Unit Prices'!H10</f>
        <v>ANY-USE-STND-CMP-L2-LINF-HR-USD</v>
      </c>
      <c r="I11">
        <f>'Unit Prices'!I10</f>
        <v>0.18375</v>
      </c>
      <c t="str" r="J11">
        <f>'Unit Prices'!A4</f>
        <v>LINUX INSTANCES, CENTOS OR UBUNTU</v>
      </c>
    </row>
    <row r="12">
      <c t="str" r="A12">
        <f>'Unit Prices'!A11</f>
        <v>ANY</v>
      </c>
      <c t="str" r="B12">
        <f>'Unit Prices'!B11</f>
        <v>US-EAST</v>
      </c>
      <c t="str" r="C12">
        <f>'Unit Prices'!C11</f>
        <v>STANDARD</v>
      </c>
      <c t="str" r="D12">
        <f>'Unit Prices'!D11</f>
        <v>Compute</v>
      </c>
      <c t="str" r="E12">
        <f>'Unit Prices'!E11</f>
        <v>4x Large Instance Type</v>
      </c>
      <c t="str" r="F12">
        <f>'Unit Prices'!F11</f>
        <v>Hourly</v>
      </c>
      <c t="str" r="G12">
        <f>'Unit Prices'!G11</f>
        <v>USD</v>
      </c>
      <c t="str" r="H12">
        <f>'Unit Prices'!H11</f>
        <v>ANY-USE-STND-CMP-4XL-LINF-HR-USD</v>
      </c>
      <c r="I12">
        <f>'Unit Prices'!I11</f>
        <v>1.47</v>
      </c>
      <c t="str" r="J12">
        <f>'Unit Prices'!A4</f>
        <v>LINUX INSTANCES, CENTOS OR UBUNTU</v>
      </c>
    </row>
    <row r="13">
      <c t="str" r="A13">
        <f>'Unit Prices'!A12</f>
        <v>ANY</v>
      </c>
      <c t="str" r="B13">
        <f>'Unit Prices'!B12</f>
        <v>US-EAST</v>
      </c>
      <c t="str" r="C13">
        <f>'Unit Prices'!C12</f>
        <v>STANDARD</v>
      </c>
      <c t="str" r="D13">
        <f>'Unit Prices'!D12</f>
        <v>Compute</v>
      </c>
      <c t="str" r="E13">
        <f>'Unit Prices'!E12</f>
        <v>High CPU 8x Large Instance Type</v>
      </c>
      <c t="str" r="F13">
        <f>'Unit Prices'!F12</f>
        <v>Hourly</v>
      </c>
      <c t="str" r="G13">
        <f>'Unit Prices'!G12</f>
        <v>USD</v>
      </c>
      <c t="str" r="H13">
        <f>'Unit Prices'!H12</f>
        <v>ANY-USE-STND-CMP-HC8XL2-LINF-HR-USD</v>
      </c>
      <c r="I13">
        <f>'Unit Prices'!I12</f>
        <v>2.94</v>
      </c>
      <c t="str" r="J13">
        <f>'Unit Prices'!A4</f>
        <v>LINUX INSTANCES, CENTOS OR UBUNTU</v>
      </c>
    </row>
    <row r="14">
      <c t="str" r="A14">
        <f>'Unit Prices'!A13</f>
        <v>ANY</v>
      </c>
      <c t="str" r="B14">
        <f>'Unit Prices'!B13</f>
        <v>US-EAST</v>
      </c>
      <c t="str" r="C14">
        <f>'Unit Prices'!C13</f>
        <v>STANDARD</v>
      </c>
      <c t="str" r="D14">
        <f>'Unit Prices'!D13</f>
        <v>Compute</v>
      </c>
      <c t="str" r="E14">
        <f>'Unit Prices'!E13</f>
        <v>High Storage 8x Large Instance Type</v>
      </c>
      <c t="str" r="F14">
        <f>'Unit Prices'!F13</f>
        <v>Hourly</v>
      </c>
      <c t="str" r="G14">
        <f>'Unit Prices'!G13</f>
        <v>USD</v>
      </c>
      <c t="str" r="H14">
        <f>'Unit Prices'!H13</f>
        <v>ANY-USE-STND-CMP-HS8XL2-LINF-HR-USD</v>
      </c>
      <c r="I14">
        <f>'Unit Prices'!I13</f>
        <v>8.05</v>
      </c>
      <c t="str" r="J14">
        <f>'Unit Prices'!A4</f>
        <v>LINUX INSTANCES, CENTOS OR UBUNTU</v>
      </c>
    </row>
    <row r="15">
      <c t="str" r="A15">
        <f>'Unit Prices'!A14</f>
        <v>AWS</v>
      </c>
      <c t="str" r="B15">
        <f>'Unit Prices'!B14</f>
        <v>US-EAST</v>
      </c>
      <c t="str" r="C15">
        <f>'Unit Prices'!C14</f>
        <v>STANDARD</v>
      </c>
      <c t="str" r="D15">
        <f>'Unit Prices'!D14</f>
        <v>Compute</v>
      </c>
      <c t="str" r="E15">
        <f>'Unit Prices'!E14</f>
        <v>Medium Instance Type</v>
      </c>
      <c t="str" r="F15">
        <f>'Unit Prices'!F14</f>
        <v>Hourly</v>
      </c>
      <c t="str" r="G15">
        <f>'Unit Prices'!G14</f>
        <v>USD</v>
      </c>
      <c t="str" r="H15">
        <f>'Unit Prices'!H14</f>
        <v>AWS-USE-STND-CMP-MED-LINF-HR-USD</v>
      </c>
      <c r="I15">
        <f>'Unit Prices'!I14</f>
        <v>0.1225</v>
      </c>
      <c t="str" r="J15">
        <f>'Unit Prices'!A4</f>
        <v>LINUX INSTANCES, CENTOS OR UBUNTU</v>
      </c>
    </row>
    <row r="16">
      <c t="str" r="A16">
        <f>'Unit Prices'!A15</f>
        <v>AWS</v>
      </c>
      <c t="str" r="B16">
        <f>'Unit Prices'!B15</f>
        <v>US-EAST</v>
      </c>
      <c t="str" r="C16">
        <f>'Unit Prices'!C15</f>
        <v>STANDARD</v>
      </c>
      <c t="str" r="D16">
        <f>'Unit Prices'!D15</f>
        <v>Compute</v>
      </c>
      <c t="str" r="E16">
        <f>'Unit Prices'!E15</f>
        <v>Large Instance Type</v>
      </c>
      <c t="str" r="F16">
        <f>'Unit Prices'!F15</f>
        <v>Hourly</v>
      </c>
      <c t="str" r="G16">
        <f>'Unit Prices'!G15</f>
        <v>USD</v>
      </c>
      <c t="str" r="H16">
        <f>'Unit Prices'!H15</f>
        <v>AWS-USE-STND-CMP-L-LINF-HR-USD</v>
      </c>
      <c r="I16">
        <f>'Unit Prices'!I15</f>
        <v>0.245</v>
      </c>
      <c t="str" r="J16">
        <f>'Unit Prices'!A4</f>
        <v>LINUX INSTANCES, CENTOS OR UBUNTU</v>
      </c>
    </row>
    <row r="17">
      <c t="str" r="A17">
        <f>'Unit Prices'!A16</f>
        <v>AWS</v>
      </c>
      <c t="str" r="B17">
        <f>'Unit Prices'!B16</f>
        <v>US-EAST</v>
      </c>
      <c t="str" r="C17">
        <f>'Unit Prices'!C16</f>
        <v>STANDARD</v>
      </c>
      <c t="str" r="D17">
        <f>'Unit Prices'!D16</f>
        <v>Compute</v>
      </c>
      <c t="str" r="E17">
        <f>'Unit Prices'!E16</f>
        <v>x Large Instance Type</v>
      </c>
      <c t="str" r="F17">
        <f>'Unit Prices'!F16</f>
        <v>Hourly</v>
      </c>
      <c t="str" r="G17">
        <f>'Unit Prices'!G16</f>
        <v>USD</v>
      </c>
      <c t="str" r="H17">
        <f>'Unit Prices'!H16</f>
        <v>AWS-USE-STND-CMP-XL-LINF-HR-USD</v>
      </c>
      <c r="I17">
        <f>'Unit Prices'!I16</f>
        <v>0.49</v>
      </c>
      <c t="str" r="J17">
        <f>'Unit Prices'!A4</f>
        <v>LINUX INSTANCES, CENTOS OR UBUNTU</v>
      </c>
    </row>
    <row r="18">
      <c t="str" r="A18">
        <f>'Unit Prices'!A17</f>
        <v>AWS</v>
      </c>
      <c t="str" r="B18">
        <f>'Unit Prices'!B17</f>
        <v>US-EAST</v>
      </c>
      <c t="str" r="C18">
        <f>'Unit Prices'!C17</f>
        <v>STANDARD</v>
      </c>
      <c t="str" r="D18">
        <f>'Unit Prices'!D17</f>
        <v>Compute</v>
      </c>
      <c t="str" r="E18">
        <f>'Unit Prices'!E17</f>
        <v>2x Large Instance Type</v>
      </c>
      <c t="str" r="F18">
        <f>'Unit Prices'!F17</f>
        <v>Hourly</v>
      </c>
      <c t="str" r="G18">
        <f>'Unit Prices'!G17</f>
        <v>USD</v>
      </c>
      <c t="str" r="H18">
        <f>'Unit Prices'!H17</f>
        <v>AWS-USE-STND-CMP-2XL-LINF-HR-USD</v>
      </c>
      <c r="I18">
        <f>'Unit Prices'!I17</f>
        <v>0.98</v>
      </c>
      <c t="str" r="J18">
        <f>'Unit Prices'!A4</f>
        <v>LINUX INSTANCES, CENTOS OR UBUNTU</v>
      </c>
    </row>
    <row r="19">
      <c t="str" r="A19">
        <f>'Unit Prices'!A18</f>
        <v>AWS</v>
      </c>
      <c t="str" r="B19">
        <f>'Unit Prices'!B18</f>
        <v>US-EAST</v>
      </c>
      <c t="str" r="C19">
        <f>'Unit Prices'!C18</f>
        <v>STANDARD</v>
      </c>
      <c t="str" r="D19">
        <f>'Unit Prices'!D18</f>
        <v>Compute</v>
      </c>
      <c t="str" r="E19">
        <f>'Unit Prices'!E18</f>
        <v>Large Instance Type, Gen 2</v>
      </c>
      <c t="str" r="F19">
        <f>'Unit Prices'!F18</f>
        <v>Hourly</v>
      </c>
      <c t="str" r="G19">
        <f>'Unit Prices'!G18</f>
        <v>USD</v>
      </c>
      <c t="str" r="H19">
        <f>'Unit Prices'!H18</f>
        <v>AWS-USE-STND-CMP-L-LINFG2-HR-USD</v>
      </c>
      <c r="I19">
        <f>'Unit Prices'!I18</f>
        <v>0.18375</v>
      </c>
      <c t="str" r="J19">
        <f>'Unit Prices'!A4</f>
        <v>LINUX INSTANCES, CENTOS OR UBUNTU</v>
      </c>
    </row>
    <row r="20">
      <c t="str" r="A20">
        <f>'Unit Prices'!A19</f>
        <v>AWS</v>
      </c>
      <c t="str" r="B20">
        <f>'Unit Prices'!B19</f>
        <v>US-EAST</v>
      </c>
      <c t="str" r="C20">
        <f>'Unit Prices'!C19</f>
        <v>STANDARD</v>
      </c>
      <c t="str" r="D20">
        <f>'Unit Prices'!D19</f>
        <v>Compute</v>
      </c>
      <c t="str" r="E20">
        <f>'Unit Prices'!E19</f>
        <v>4x Large Instance Type</v>
      </c>
      <c t="str" r="F20">
        <f>'Unit Prices'!F19</f>
        <v>Hourly</v>
      </c>
      <c t="str" r="G20">
        <f>'Unit Prices'!G19</f>
        <v>USD</v>
      </c>
      <c t="str" r="H20">
        <f>'Unit Prices'!H19</f>
        <v>AWS-USE-STND-CMP-4XL-LINF-HR-USD</v>
      </c>
      <c r="I20">
        <f>'Unit Prices'!I19</f>
        <v>1.47</v>
      </c>
      <c t="str" r="J20">
        <f>'Unit Prices'!A4</f>
        <v>LINUX INSTANCES, CENTOS OR UBUNTU</v>
      </c>
    </row>
    <row r="21">
      <c t="str" r="A21">
        <f>'Unit Prices'!A20</f>
        <v>AWS</v>
      </c>
      <c t="str" r="B21">
        <f>'Unit Prices'!B20</f>
        <v>US-EAST</v>
      </c>
      <c t="str" r="C21">
        <f>'Unit Prices'!C20</f>
        <v>STANDARD</v>
      </c>
      <c t="str" r="D21">
        <f>'Unit Prices'!D20</f>
        <v>Compute</v>
      </c>
      <c t="str" r="E21">
        <f>'Unit Prices'!E20</f>
        <v>High CPU 8x Large Instance Type</v>
      </c>
      <c t="str" r="F21">
        <f>'Unit Prices'!F20</f>
        <v>Hourly</v>
      </c>
      <c t="str" r="G21">
        <f>'Unit Prices'!G20</f>
        <v>USD</v>
      </c>
      <c t="str" r="H21">
        <f>'Unit Prices'!H20</f>
        <v>AWS-USE-STND-CMP-HC8XL2-LINF-HR-USD</v>
      </c>
      <c r="I21">
        <f>'Unit Prices'!I20</f>
        <v>2.94</v>
      </c>
      <c t="str" r="J21">
        <f>'Unit Prices'!A4</f>
        <v>LINUX INSTANCES, CENTOS OR UBUNTU</v>
      </c>
    </row>
    <row r="22">
      <c t="str" r="A22">
        <f>'Unit Prices'!A21</f>
        <v>AWS</v>
      </c>
      <c t="str" r="B22">
        <f>'Unit Prices'!B21</f>
        <v>US-EAST</v>
      </c>
      <c t="str" r="C22">
        <f>'Unit Prices'!C21</f>
        <v>STANDARD</v>
      </c>
      <c t="str" r="D22">
        <f>'Unit Prices'!D21</f>
        <v>Compute</v>
      </c>
      <c t="str" r="E22">
        <f>'Unit Prices'!E21</f>
        <v>High Storage 8x Large Instance Type</v>
      </c>
      <c t="str" r="F22">
        <f>'Unit Prices'!F21</f>
        <v>Hourly</v>
      </c>
      <c t="str" r="G22">
        <f>'Unit Prices'!G21</f>
        <v>USD</v>
      </c>
      <c t="str" r="H22">
        <f>'Unit Prices'!H21</f>
        <v>AWS-USE-STND-CMP-HS8XL2-LINF-HR-USD</v>
      </c>
      <c r="I22">
        <f>'Unit Prices'!I21</f>
        <v>8.05</v>
      </c>
      <c t="str" r="J22">
        <f>'Unit Prices'!A4</f>
        <v>LINUX INSTANCES, CENTOS OR UBUNTU</v>
      </c>
    </row>
    <row r="23">
      <c t="str" r="A23">
        <f>'Unit Prices'!A22</f>
        <v/>
      </c>
      <c t="str" r="B23">
        <f>'Unit Prices'!B22</f>
        <v/>
      </c>
      <c t="str" r="C23">
        <f>'Unit Prices'!C22</f>
        <v/>
      </c>
      <c t="str" r="D23">
        <f>'Unit Prices'!D22</f>
        <v/>
      </c>
      <c t="str" r="E23">
        <f>'Unit Prices'!E22</f>
        <v/>
      </c>
      <c t="str" r="F23">
        <f>'Unit Prices'!F22</f>
        <v/>
      </c>
      <c t="str" r="G23">
        <f>'Unit Prices'!G22</f>
        <v/>
      </c>
      <c t="str" r="H23">
        <f>'Unit Prices'!H22</f>
        <v/>
      </c>
      <c t="str" r="I23">
        <f>'Unit Prices'!I22</f>
        <v/>
      </c>
      <c t="str" r="J23">
        <f>'Unit Prices'!A4</f>
        <v>LINUX INSTANCES, CENTOS OR UBUNTU</v>
      </c>
    </row>
    <row r="24">
      <c t="str" r="A24">
        <f>'Unit Prices'!A23</f>
        <v/>
      </c>
      <c t="str" r="B24">
        <f>'Unit Prices'!B23</f>
        <v/>
      </c>
      <c t="str" r="C24">
        <f>'Unit Prices'!C23</f>
        <v/>
      </c>
      <c t="str" r="D24">
        <f>'Unit Prices'!D23</f>
        <v/>
      </c>
      <c t="str" r="E24">
        <f>'Unit Prices'!E23</f>
        <v/>
      </c>
      <c t="str" r="F24">
        <f>'Unit Prices'!F23</f>
        <v/>
      </c>
      <c t="str" r="G24">
        <f>'Unit Prices'!G23</f>
        <v/>
      </c>
      <c t="str" r="H24">
        <f>'Unit Prices'!H23</f>
        <v/>
      </c>
      <c t="str" r="I24">
        <f>'Unit Prices'!I23</f>
        <v/>
      </c>
      <c t="str" r="J24">
        <f>'Unit Prices'!A4</f>
        <v>LINUX INSTANCES, CENTOS OR UBUNTU</v>
      </c>
    </row>
    <row r="25">
      <c t="str" r="A25">
        <f>'Unit Prices'!A24</f>
        <v/>
      </c>
      <c t="str" r="B25">
        <f>'Unit Prices'!B24</f>
        <v/>
      </c>
      <c t="str" r="C25">
        <f>'Unit Prices'!C24</f>
        <v/>
      </c>
      <c t="str" r="D25">
        <f>'Unit Prices'!D24</f>
        <v/>
      </c>
      <c t="str" r="E25">
        <f>'Unit Prices'!E24</f>
        <v/>
      </c>
      <c t="str" r="F25">
        <f>'Unit Prices'!F24</f>
        <v/>
      </c>
      <c t="str" r="G25">
        <f>'Unit Prices'!G24</f>
        <v/>
      </c>
      <c t="str" r="H25">
        <f>'Unit Prices'!H24</f>
        <v/>
      </c>
      <c t="str" r="I25">
        <f>'Unit Prices'!I24</f>
        <v/>
      </c>
      <c t="str" r="J25">
        <f>'Unit Prices'!A4</f>
        <v>LINUX INSTANCES, CENTOS OR UBUNTU</v>
      </c>
    </row>
    <row r="26">
      <c t="str" r="A26">
        <f>'Unit Prices'!A25</f>
        <v/>
      </c>
      <c t="str" r="B26">
        <f>'Unit Prices'!B25</f>
        <v/>
      </c>
      <c t="str" r="C26">
        <f>'Unit Prices'!C25</f>
        <v/>
      </c>
      <c t="str" r="D26">
        <f>'Unit Prices'!D25</f>
        <v/>
      </c>
      <c t="str" r="E26">
        <f>'Unit Prices'!E25</f>
        <v/>
      </c>
      <c t="str" r="F26">
        <f>'Unit Prices'!F25</f>
        <v/>
      </c>
      <c t="str" r="G26">
        <f>'Unit Prices'!G25</f>
        <v/>
      </c>
      <c t="str" r="H26">
        <f>'Unit Prices'!H25</f>
        <v/>
      </c>
      <c t="str" r="I26">
        <f>'Unit Prices'!I25</f>
        <v/>
      </c>
      <c t="str" r="J26">
        <f>'Unit Prices'!A4</f>
        <v>LINUX INSTANCES, CENTOS OR UBUNTU</v>
      </c>
    </row>
    <row r="27">
      <c t="str" r="A27">
        <f>'Unit Prices'!A26</f>
        <v/>
      </c>
      <c t="str" r="B27">
        <f>'Unit Prices'!B26</f>
        <v/>
      </c>
      <c t="str" r="C27">
        <f>'Unit Prices'!C26</f>
        <v/>
      </c>
      <c t="str" r="D27">
        <f>'Unit Prices'!D26</f>
        <v/>
      </c>
      <c t="str" r="E27">
        <f>'Unit Prices'!E26</f>
        <v/>
      </c>
      <c t="str" r="F27">
        <f>'Unit Prices'!F26</f>
        <v/>
      </c>
      <c t="str" r="G27">
        <f>'Unit Prices'!G26</f>
        <v/>
      </c>
      <c t="str" r="H27">
        <f>'Unit Prices'!H26</f>
        <v/>
      </c>
      <c t="str" r="I27">
        <f>'Unit Prices'!I26</f>
        <v/>
      </c>
      <c t="str" r="J27">
        <f>'Unit Prices'!A4</f>
        <v>LINUX INSTANCES, CENTOS OR UBUNTU</v>
      </c>
    </row>
    <row r="28">
      <c t="str" r="A28">
        <f>'Unit Prices'!A27</f>
        <v>LINUX INSTANCES, REDHAT</v>
      </c>
      <c t="str" r="B28">
        <f>'Unit Prices'!B27</f>
        <v/>
      </c>
      <c t="str" r="C28">
        <f>'Unit Prices'!C27</f>
        <v/>
      </c>
      <c t="str" r="D28">
        <f>'Unit Prices'!D27</f>
        <v/>
      </c>
      <c t="str" r="E28">
        <f>'Unit Prices'!E27</f>
        <v/>
      </c>
      <c t="str" r="F28">
        <f>'Unit Prices'!F27</f>
        <v/>
      </c>
      <c t="str" r="G28">
        <f>'Unit Prices'!G27</f>
        <v/>
      </c>
      <c t="str" r="H28">
        <f>'Unit Prices'!H27</f>
        <v/>
      </c>
      <c t="str" r="I28">
        <f>'Unit Prices'!I27</f>
        <v/>
      </c>
    </row>
    <row r="29">
      <c t="str" r="A29">
        <f>'Unit Prices'!A28</f>
        <v>SHARED INSTANCES</v>
      </c>
      <c t="str" r="B29">
        <f>'Unit Prices'!B28</f>
        <v/>
      </c>
      <c t="str" r="C29">
        <f>'Unit Prices'!C28</f>
        <v/>
      </c>
      <c t="str" r="D29">
        <f>'Unit Prices'!D28</f>
        <v/>
      </c>
      <c t="str" r="E29">
        <f>'Unit Prices'!E28</f>
        <v/>
      </c>
      <c t="str" r="F29">
        <f>'Unit Prices'!F28</f>
        <v/>
      </c>
      <c t="str" r="G29">
        <f>'Unit Prices'!G28</f>
        <v/>
      </c>
      <c t="str" r="H29">
        <f>'Unit Prices'!H28</f>
        <v/>
      </c>
      <c t="str" r="I29">
        <f>'Unit Prices'!I28</f>
        <v/>
      </c>
    </row>
    <row r="30">
      <c t="str" r="A30">
        <f>'Unit Prices'!A29</f>
        <v>ANY</v>
      </c>
      <c t="str" r="B30">
        <f>'Unit Prices'!B29</f>
        <v>US-EAST</v>
      </c>
      <c t="str" r="C30">
        <f>'Unit Prices'!C29</f>
        <v>STANDARD</v>
      </c>
      <c t="str" r="D30">
        <f>'Unit Prices'!D29</f>
        <v>Compute</v>
      </c>
      <c t="str" r="E30">
        <f>'Unit Prices'!E29</f>
        <v>Medium Instance Type</v>
      </c>
      <c t="str" r="F30">
        <f>'Unit Prices'!F29</f>
        <v>Hourly</v>
      </c>
      <c t="str" r="G30">
        <f>'Unit Prices'!G29</f>
        <v>USD</v>
      </c>
      <c t="str" r="H30">
        <f>'Unit Prices'!H29</f>
        <v>ANY-USE-STND-CMP-MED-RHEL-HR-USD</v>
      </c>
      <c r="I30">
        <f>'Unit Prices'!I29</f>
        <v>0.2275</v>
      </c>
      <c t="str" r="J30">
        <f>'Unit Prices'!A27</f>
        <v>LINUX INSTANCES, REDHAT</v>
      </c>
    </row>
    <row r="31">
      <c t="str" r="A31">
        <f>'Unit Prices'!A30</f>
        <v>ANY</v>
      </c>
      <c t="str" r="B31">
        <f>'Unit Prices'!B30</f>
        <v>US-EAST</v>
      </c>
      <c t="str" r="C31">
        <f>'Unit Prices'!C30</f>
        <v>STANDARD</v>
      </c>
      <c t="str" r="D31">
        <f>'Unit Prices'!D30</f>
        <v>Compute</v>
      </c>
      <c t="str" r="E31">
        <f>'Unit Prices'!E30</f>
        <v>Large Instance Type</v>
      </c>
      <c t="str" r="F31">
        <f>'Unit Prices'!F30</f>
        <v>Hourly</v>
      </c>
      <c t="str" r="G31">
        <f>'Unit Prices'!G30</f>
        <v>USD</v>
      </c>
      <c t="str" r="H31">
        <f>'Unit Prices'!H30</f>
        <v>ANY-USE-STND-CMP-L-RHEL-HR-USD</v>
      </c>
      <c r="I31">
        <f>'Unit Prices'!I30</f>
        <v>0.35</v>
      </c>
      <c t="str" r="J31">
        <f>'Unit Prices'!A27</f>
        <v>LINUX INSTANCES, REDHAT</v>
      </c>
    </row>
    <row r="32">
      <c t="str" r="A32">
        <f>'Unit Prices'!A31</f>
        <v>ANY</v>
      </c>
      <c t="str" r="B32">
        <f>'Unit Prices'!B31</f>
        <v>US-EAST</v>
      </c>
      <c t="str" r="C32">
        <f>'Unit Prices'!C31</f>
        <v>STANDARD</v>
      </c>
      <c t="str" r="D32">
        <f>'Unit Prices'!D31</f>
        <v>Compute</v>
      </c>
      <c t="str" r="E32">
        <f>'Unit Prices'!E31</f>
        <v>x Large Instance Type</v>
      </c>
      <c t="str" r="F32">
        <f>'Unit Prices'!F31</f>
        <v>Hourly</v>
      </c>
      <c t="str" r="G32">
        <f>'Unit Prices'!G31</f>
        <v>USD</v>
      </c>
      <c t="str" r="H32">
        <f>'Unit Prices'!H31</f>
        <v>ANY-USE-STND-CMP-XL-RHEL-HR-USD</v>
      </c>
      <c r="I32">
        <f>'Unit Prices'!I31</f>
        <v>0.595</v>
      </c>
      <c t="str" r="J32">
        <f>'Unit Prices'!A27</f>
        <v>LINUX INSTANCES, REDHAT</v>
      </c>
    </row>
    <row r="33">
      <c t="str" r="A33">
        <f>'Unit Prices'!A32</f>
        <v>ANY</v>
      </c>
      <c t="str" r="B33">
        <f>'Unit Prices'!B32</f>
        <v>US-EAST</v>
      </c>
      <c t="str" r="C33">
        <f>'Unit Prices'!C32</f>
        <v>STANDARD</v>
      </c>
      <c t="str" r="D33">
        <f>'Unit Prices'!D32</f>
        <v>Compute</v>
      </c>
      <c t="str" r="E33">
        <f>'Unit Prices'!E32</f>
        <v>2x Large Instance Type</v>
      </c>
      <c t="str" r="F33">
        <f>'Unit Prices'!F32</f>
        <v>Hourly</v>
      </c>
      <c t="str" r="G33">
        <f>'Unit Prices'!G32</f>
        <v>USD</v>
      </c>
      <c t="str" r="H33">
        <f>'Unit Prices'!H32</f>
        <v>ANY-USE-STND-CMP-2XL-RHEL-HR-USD</v>
      </c>
      <c r="I33">
        <f>'Unit Prices'!I32</f>
        <v>1.2075</v>
      </c>
      <c t="str" r="J33">
        <f>'Unit Prices'!A27</f>
        <v>LINUX INSTANCES, REDHAT</v>
      </c>
    </row>
    <row r="34">
      <c t="str" r="A34">
        <f>'Unit Prices'!A33</f>
        <v>ANY</v>
      </c>
      <c t="str" r="B34">
        <f>'Unit Prices'!B33</f>
        <v>US-EAST</v>
      </c>
      <c t="str" r="C34">
        <f>'Unit Prices'!C33</f>
        <v>STANDARD</v>
      </c>
      <c t="str" r="D34">
        <f>'Unit Prices'!D33</f>
        <v>Compute</v>
      </c>
      <c t="str" r="E34">
        <f>'Unit Prices'!E33</f>
        <v>Large Instance Type, Gen 2</v>
      </c>
      <c t="str" r="F34">
        <f>'Unit Prices'!F33</f>
        <v>Hourly</v>
      </c>
      <c t="str" r="G34">
        <f>'Unit Prices'!G33</f>
        <v>USD</v>
      </c>
      <c t="str" r="H34">
        <f>'Unit Prices'!H33</f>
        <v>ANY-USE-STND-CMP-L2-RHEL-HR-USD</v>
      </c>
      <c r="I34">
        <f>'Unit Prices'!I33</f>
        <v>0.28875</v>
      </c>
      <c t="str" r="J34">
        <f>'Unit Prices'!A27</f>
        <v>LINUX INSTANCES, REDHAT</v>
      </c>
    </row>
    <row r="35">
      <c t="str" r="A35">
        <f>'Unit Prices'!A34</f>
        <v>ANY</v>
      </c>
      <c t="str" r="B35">
        <f>'Unit Prices'!B34</f>
        <v>US-EAST</v>
      </c>
      <c t="str" r="C35">
        <f>'Unit Prices'!C34</f>
        <v>STANDARD</v>
      </c>
      <c t="str" r="D35">
        <f>'Unit Prices'!D34</f>
        <v>Compute</v>
      </c>
      <c t="str" r="E35">
        <f>'Unit Prices'!E34</f>
        <v>4x Large Instance Type</v>
      </c>
      <c t="str" r="F35">
        <f>'Unit Prices'!F34</f>
        <v>Hourly</v>
      </c>
      <c t="str" r="G35">
        <f>'Unit Prices'!G34</f>
        <v>USD</v>
      </c>
      <c t="str" r="H35">
        <f>'Unit Prices'!H34</f>
        <v>ANY-USE-STND-CMP-4XL-RHEL-HR-USD</v>
      </c>
      <c r="I35">
        <f>'Unit Prices'!I34</f>
        <v>1.6975</v>
      </c>
      <c t="str" r="J35">
        <f>'Unit Prices'!A27</f>
        <v>LINUX INSTANCES, REDHAT</v>
      </c>
    </row>
    <row r="36">
      <c t="str" r="A36">
        <f>'Unit Prices'!A35</f>
        <v>ANY</v>
      </c>
      <c t="str" r="B36">
        <f>'Unit Prices'!B35</f>
        <v>US-EAST</v>
      </c>
      <c t="str" r="C36">
        <f>'Unit Prices'!C35</f>
        <v>STANDARD</v>
      </c>
      <c t="str" r="D36">
        <f>'Unit Prices'!D35</f>
        <v>Compute</v>
      </c>
      <c t="str" r="E36">
        <f>'Unit Prices'!E35</f>
        <v>High CPU 8x Large Instance Type</v>
      </c>
      <c t="str" r="F36">
        <f>'Unit Prices'!F35</f>
        <v>Hourly</v>
      </c>
      <c t="str" r="G36">
        <f>'Unit Prices'!G35</f>
        <v>USD</v>
      </c>
      <c t="str" r="H36">
        <f>'Unit Prices'!H35</f>
        <v>ANY-USE-STND-CMP-HC8XL2-RHEL-HR-USD</v>
      </c>
      <c r="I36">
        <f>'Unit Prices'!I35</f>
        <v>3.168</v>
      </c>
      <c t="str" r="J36">
        <f>'Unit Prices'!A27</f>
        <v>LINUX INSTANCES, REDHAT</v>
      </c>
    </row>
    <row r="37">
      <c t="str" r="A37">
        <f>'Unit Prices'!A36</f>
        <v>ANY</v>
      </c>
      <c t="str" r="B37">
        <f>'Unit Prices'!B36</f>
        <v>US-EAST</v>
      </c>
      <c t="str" r="C37">
        <f>'Unit Prices'!C36</f>
        <v>STANDARD</v>
      </c>
      <c t="str" r="D37">
        <f>'Unit Prices'!D36</f>
        <v>Compute</v>
      </c>
      <c t="str" r="E37">
        <f>'Unit Prices'!E36</f>
        <v>High Storage 8x Large Instance Type</v>
      </c>
      <c t="str" r="F37">
        <f>'Unit Prices'!F36</f>
        <v>Hourly</v>
      </c>
      <c t="str" r="G37">
        <f>'Unit Prices'!G36</f>
        <v>USD</v>
      </c>
      <c t="str" r="H37">
        <f>'Unit Prices'!H36</f>
        <v>ANY-USE-STND-CMP-HS8XL2-RHEL-HR-USD</v>
      </c>
      <c r="I37">
        <f>'Unit Prices'!I36</f>
        <v>8.2775</v>
      </c>
      <c t="str" r="J37">
        <f>'Unit Prices'!A27</f>
        <v>LINUX INSTANCES, REDHAT</v>
      </c>
    </row>
    <row r="38">
      <c t="str" r="A38">
        <f>'Unit Prices'!A37</f>
        <v>AWS</v>
      </c>
      <c t="str" r="B38">
        <f>'Unit Prices'!B37</f>
        <v>US-EAST</v>
      </c>
      <c t="str" r="C38">
        <f>'Unit Prices'!C37</f>
        <v>STANDARD</v>
      </c>
      <c t="str" r="D38">
        <f>'Unit Prices'!D37</f>
        <v>Compute</v>
      </c>
      <c t="str" r="E38">
        <f>'Unit Prices'!E37</f>
        <v>Medium Instance Type</v>
      </c>
      <c t="str" r="F38">
        <f>'Unit Prices'!F37</f>
        <v>Hourly</v>
      </c>
      <c t="str" r="G38">
        <f>'Unit Prices'!G37</f>
        <v>USD</v>
      </c>
      <c t="str" r="H38">
        <f>'Unit Prices'!H37</f>
        <v>AWS-USE-STND-CMP-MED-RHEL-HR-USD</v>
      </c>
      <c r="I38">
        <f>'Unit Prices'!I37</f>
        <v>0.2275</v>
      </c>
      <c t="str" r="J38">
        <f>'Unit Prices'!A27</f>
        <v>LINUX INSTANCES, REDHAT</v>
      </c>
    </row>
    <row r="39">
      <c t="str" r="A39">
        <f>'Unit Prices'!A38</f>
        <v>AWS</v>
      </c>
      <c t="str" r="B39">
        <f>'Unit Prices'!B38</f>
        <v>US-EAST</v>
      </c>
      <c t="str" r="C39">
        <f>'Unit Prices'!C38</f>
        <v>STANDARD</v>
      </c>
      <c t="str" r="D39">
        <f>'Unit Prices'!D38</f>
        <v>Compute</v>
      </c>
      <c t="str" r="E39">
        <f>'Unit Prices'!E38</f>
        <v>Large Instance Type</v>
      </c>
      <c t="str" r="F39">
        <f>'Unit Prices'!F38</f>
        <v>Hourly</v>
      </c>
      <c t="str" r="G39">
        <f>'Unit Prices'!G38</f>
        <v>USD</v>
      </c>
      <c t="str" r="H39">
        <f>'Unit Prices'!H38</f>
        <v>AWS-USE-STND-CMP-L-RHEL-HR-USD</v>
      </c>
      <c r="I39">
        <f>'Unit Prices'!I38</f>
        <v>0.35</v>
      </c>
      <c t="str" r="J39">
        <f>'Unit Prices'!A27</f>
        <v>LINUX INSTANCES, REDHAT</v>
      </c>
    </row>
    <row r="40">
      <c t="str" r="A40">
        <f>'Unit Prices'!A39</f>
        <v>AWS</v>
      </c>
      <c t="str" r="B40">
        <f>'Unit Prices'!B39</f>
        <v>US-EAST</v>
      </c>
      <c t="str" r="C40">
        <f>'Unit Prices'!C39</f>
        <v>STANDARD</v>
      </c>
      <c t="str" r="D40">
        <f>'Unit Prices'!D39</f>
        <v>Compute</v>
      </c>
      <c t="str" r="E40">
        <f>'Unit Prices'!E39</f>
        <v>x Large Instance Type</v>
      </c>
      <c t="str" r="F40">
        <f>'Unit Prices'!F39</f>
        <v>Hourly</v>
      </c>
      <c t="str" r="G40">
        <f>'Unit Prices'!G39</f>
        <v>USD</v>
      </c>
      <c t="str" r="H40">
        <f>'Unit Prices'!H39</f>
        <v>AWS-USE-STND-CMP-XL-RHEL-HR-USD</v>
      </c>
      <c r="I40">
        <f>'Unit Prices'!I39</f>
        <v>0.595</v>
      </c>
      <c t="str" r="J40">
        <f>'Unit Prices'!A27</f>
        <v>LINUX INSTANCES, REDHAT</v>
      </c>
    </row>
    <row r="41">
      <c t="str" r="A41">
        <f>'Unit Prices'!A40</f>
        <v>AWS</v>
      </c>
      <c t="str" r="B41">
        <f>'Unit Prices'!B40</f>
        <v>US-EAST</v>
      </c>
      <c t="str" r="C41">
        <f>'Unit Prices'!C40</f>
        <v>STANDARD</v>
      </c>
      <c t="str" r="D41">
        <f>'Unit Prices'!D40</f>
        <v>Compute</v>
      </c>
      <c t="str" r="E41">
        <f>'Unit Prices'!E40</f>
        <v>2x Large Instance Type</v>
      </c>
      <c t="str" r="F41">
        <f>'Unit Prices'!F40</f>
        <v>Hourly</v>
      </c>
      <c t="str" r="G41">
        <f>'Unit Prices'!G40</f>
        <v>USD</v>
      </c>
      <c t="str" r="H41">
        <f>'Unit Prices'!H40</f>
        <v>AWS-USE-STND-CMP-2XL-RHEL-HR-USD</v>
      </c>
      <c r="I41">
        <f>'Unit Prices'!I40</f>
        <v>1.2075</v>
      </c>
      <c t="str" r="J41">
        <f>'Unit Prices'!A27</f>
        <v>LINUX INSTANCES, REDHAT</v>
      </c>
    </row>
    <row r="42">
      <c t="str" r="A42">
        <f>'Unit Prices'!A41</f>
        <v>AWS</v>
      </c>
      <c t="str" r="B42">
        <f>'Unit Prices'!B41</f>
        <v>US-EAST</v>
      </c>
      <c t="str" r="C42">
        <f>'Unit Prices'!C41</f>
        <v>STANDARD</v>
      </c>
      <c t="str" r="D42">
        <f>'Unit Prices'!D41</f>
        <v>Compute</v>
      </c>
      <c t="str" r="E42">
        <f>'Unit Prices'!E41</f>
        <v>Large Instance Type, Gen 2</v>
      </c>
      <c t="str" r="F42">
        <f>'Unit Prices'!F41</f>
        <v>Hourly</v>
      </c>
      <c t="str" r="G42">
        <f>'Unit Prices'!G41</f>
        <v>USD</v>
      </c>
      <c t="str" r="H42">
        <f>'Unit Prices'!H41</f>
        <v>AWS-USE-STND-CMP-L-RHELG2-HR-USD</v>
      </c>
      <c r="I42">
        <f>'Unit Prices'!I41</f>
        <v>0.28875</v>
      </c>
      <c t="str" r="J42">
        <f>'Unit Prices'!A27</f>
        <v>LINUX INSTANCES, REDHAT</v>
      </c>
    </row>
    <row r="43">
      <c t="str" r="A43">
        <f>'Unit Prices'!A42</f>
        <v>AWS</v>
      </c>
      <c t="str" r="B43">
        <f>'Unit Prices'!B42</f>
        <v>US-EAST</v>
      </c>
      <c t="str" r="C43">
        <f>'Unit Prices'!C42</f>
        <v>STANDARD</v>
      </c>
      <c t="str" r="D43">
        <f>'Unit Prices'!D42</f>
        <v>Compute</v>
      </c>
      <c t="str" r="E43">
        <f>'Unit Prices'!E42</f>
        <v>4x Large Instance Type</v>
      </c>
      <c t="str" r="F43">
        <f>'Unit Prices'!F42</f>
        <v>Hourly</v>
      </c>
      <c t="str" r="G43">
        <f>'Unit Prices'!G42</f>
        <v>USD</v>
      </c>
      <c t="str" r="H43">
        <f>'Unit Prices'!H42</f>
        <v>AWS-USE-STND-CMP-4XL-RHEL-HR-USD</v>
      </c>
      <c r="I43">
        <f>'Unit Prices'!I42</f>
        <v>1.6975</v>
      </c>
      <c t="str" r="J43">
        <f>'Unit Prices'!A27</f>
        <v>LINUX INSTANCES, REDHAT</v>
      </c>
    </row>
    <row r="44">
      <c t="str" r="A44">
        <f>'Unit Prices'!A43</f>
        <v>AWS</v>
      </c>
      <c t="str" r="B44">
        <f>'Unit Prices'!B43</f>
        <v>US-EAST</v>
      </c>
      <c t="str" r="C44">
        <f>'Unit Prices'!C43</f>
        <v>STANDARD</v>
      </c>
      <c t="str" r="D44">
        <f>'Unit Prices'!D43</f>
        <v>Compute</v>
      </c>
      <c t="str" r="E44">
        <f>'Unit Prices'!E43</f>
        <v>High CPU 8x Large Instance Type</v>
      </c>
      <c t="str" r="F44">
        <f>'Unit Prices'!F43</f>
        <v>Hourly</v>
      </c>
      <c t="str" r="G44">
        <f>'Unit Prices'!G43</f>
        <v>USD</v>
      </c>
      <c t="str" r="H44">
        <f>'Unit Prices'!H43</f>
        <v>AWS-USE-STND-CMP-HC8XL2-RHEL-HR-USD</v>
      </c>
      <c r="I44">
        <f>'Unit Prices'!I43</f>
        <v>3.168</v>
      </c>
      <c t="str" r="J44">
        <f>'Unit Prices'!A27</f>
        <v>LINUX INSTANCES, REDHAT</v>
      </c>
    </row>
    <row r="45">
      <c t="str" r="A45">
        <f>'Unit Prices'!A44</f>
        <v>AWS</v>
      </c>
      <c t="str" r="B45">
        <f>'Unit Prices'!B44</f>
        <v>US-EAST</v>
      </c>
      <c t="str" r="C45">
        <f>'Unit Prices'!C44</f>
        <v>STANDARD</v>
      </c>
      <c t="str" r="D45">
        <f>'Unit Prices'!D44</f>
        <v>Compute</v>
      </c>
      <c t="str" r="E45">
        <f>'Unit Prices'!E44</f>
        <v>High Storage 8x Large Instance Type</v>
      </c>
      <c t="str" r="F45">
        <f>'Unit Prices'!F44</f>
        <v>Hourly</v>
      </c>
      <c t="str" r="G45">
        <f>'Unit Prices'!G44</f>
        <v>USD</v>
      </c>
      <c t="str" r="H45">
        <f>'Unit Prices'!H44</f>
        <v>AWS-USE-STND-CMP-HS8XL2-RHEL-HR-USD</v>
      </c>
      <c r="I45">
        <f>'Unit Prices'!I44</f>
        <v>8.2775</v>
      </c>
      <c t="str" r="J45">
        <f>'Unit Prices'!A27</f>
        <v>LINUX INSTANCES, REDHAT</v>
      </c>
    </row>
    <row r="46">
      <c t="str" r="A46">
        <f>'Unit Prices'!A45</f>
        <v/>
      </c>
      <c t="str" r="B46">
        <f>'Unit Prices'!B45</f>
        <v/>
      </c>
      <c t="str" r="C46">
        <f>'Unit Prices'!C45</f>
        <v/>
      </c>
      <c t="str" r="D46">
        <f>'Unit Prices'!D45</f>
        <v/>
      </c>
      <c t="str" r="E46">
        <f>'Unit Prices'!E45</f>
        <v/>
      </c>
      <c t="str" r="F46">
        <f>'Unit Prices'!F45</f>
        <v/>
      </c>
      <c t="str" r="G46">
        <f>'Unit Prices'!G45</f>
        <v/>
      </c>
      <c t="str" r="H46">
        <f>'Unit Prices'!H45</f>
        <v/>
      </c>
      <c t="str" r="I46">
        <f>'Unit Prices'!I45</f>
        <v/>
      </c>
      <c t="str" r="J46">
        <f>'Unit Prices'!A27</f>
        <v>LINUX INSTANCES, REDHAT</v>
      </c>
    </row>
    <row r="47">
      <c t="str" r="A47">
        <f>'Unit Prices'!A46</f>
        <v/>
      </c>
      <c t="str" r="B47">
        <f>'Unit Prices'!B46</f>
        <v/>
      </c>
      <c t="str" r="C47">
        <f>'Unit Prices'!C46</f>
        <v/>
      </c>
      <c t="str" r="D47">
        <f>'Unit Prices'!D46</f>
        <v/>
      </c>
      <c t="str" r="E47">
        <f>'Unit Prices'!E46</f>
        <v/>
      </c>
      <c t="str" r="F47">
        <f>'Unit Prices'!F46</f>
        <v/>
      </c>
      <c t="str" r="G47">
        <f>'Unit Prices'!G46</f>
        <v/>
      </c>
      <c t="str" r="H47">
        <f>'Unit Prices'!H46</f>
        <v/>
      </c>
      <c t="str" r="I47">
        <f>'Unit Prices'!I46</f>
        <v/>
      </c>
      <c t="str" r="J47">
        <f>'Unit Prices'!A27</f>
        <v>LINUX INSTANCES, REDHAT</v>
      </c>
    </row>
    <row r="48">
      <c t="str" r="A48">
        <f>'Unit Prices'!A47</f>
        <v/>
      </c>
      <c t="str" r="B48">
        <f>'Unit Prices'!B47</f>
        <v/>
      </c>
      <c t="str" r="C48">
        <f>'Unit Prices'!C47</f>
        <v/>
      </c>
      <c t="str" r="D48">
        <f>'Unit Prices'!D47</f>
        <v/>
      </c>
      <c t="str" r="E48">
        <f>'Unit Prices'!E47</f>
        <v/>
      </c>
      <c t="str" r="F48">
        <f>'Unit Prices'!F47</f>
        <v/>
      </c>
      <c t="str" r="G48">
        <f>'Unit Prices'!G47</f>
        <v/>
      </c>
      <c t="str" r="H48">
        <f>'Unit Prices'!H47</f>
        <v/>
      </c>
      <c t="str" r="I48">
        <f>'Unit Prices'!I47</f>
        <v/>
      </c>
      <c t="str" r="J48">
        <f>'Unit Prices'!A27</f>
        <v>LINUX INSTANCES, REDHAT</v>
      </c>
    </row>
    <row r="49">
      <c t="str" r="A49">
        <f>'Unit Prices'!A48</f>
        <v/>
      </c>
      <c t="str" r="B49">
        <f>'Unit Prices'!B48</f>
        <v/>
      </c>
      <c t="str" r="C49">
        <f>'Unit Prices'!C48</f>
        <v/>
      </c>
      <c t="str" r="D49">
        <f>'Unit Prices'!D48</f>
        <v/>
      </c>
      <c t="str" r="E49">
        <f>'Unit Prices'!E48</f>
        <v/>
      </c>
      <c t="str" r="F49">
        <f>'Unit Prices'!F48</f>
        <v/>
      </c>
      <c t="str" r="G49">
        <f>'Unit Prices'!G48</f>
        <v/>
      </c>
      <c t="str" r="H49">
        <f>'Unit Prices'!H48</f>
        <v/>
      </c>
      <c t="str" r="I49">
        <f>'Unit Prices'!I48</f>
        <v/>
      </c>
      <c t="str" r="J49">
        <f>'Unit Prices'!A27</f>
        <v>LINUX INSTANCES, REDHAT</v>
      </c>
    </row>
    <row r="50">
      <c t="str" r="A50">
        <f>'Unit Prices'!A49</f>
        <v/>
      </c>
      <c t="str" r="B50">
        <f>'Unit Prices'!B49</f>
        <v/>
      </c>
      <c t="str" r="C50">
        <f>'Unit Prices'!C49</f>
        <v/>
      </c>
      <c t="str" r="D50">
        <f>'Unit Prices'!D49</f>
        <v/>
      </c>
      <c t="str" r="E50">
        <f>'Unit Prices'!E49</f>
        <v/>
      </c>
      <c t="str" r="F50">
        <f>'Unit Prices'!F49</f>
        <v/>
      </c>
      <c t="str" r="G50">
        <f>'Unit Prices'!G49</f>
        <v/>
      </c>
      <c t="str" r="H50">
        <f>'Unit Prices'!H49</f>
        <v/>
      </c>
      <c t="str" r="I50">
        <f>'Unit Prices'!I49</f>
        <v/>
      </c>
      <c t="str" r="J50">
        <f>'Unit Prices'!A27</f>
        <v>LINUX INSTANCES, REDHAT</v>
      </c>
    </row>
    <row r="51">
      <c t="str" r="A51">
        <f>'Unit Prices'!A50</f>
        <v>WINDOWS INSTANCES</v>
      </c>
      <c t="str" r="B51">
        <f>'Unit Prices'!B50</f>
        <v/>
      </c>
      <c t="str" r="C51">
        <f>'Unit Prices'!C50</f>
        <v/>
      </c>
      <c t="str" r="D51">
        <f>'Unit Prices'!D50</f>
        <v/>
      </c>
      <c t="str" r="E51">
        <f>'Unit Prices'!E50</f>
        <v/>
      </c>
      <c t="str" r="F51">
        <f>'Unit Prices'!F50</f>
        <v/>
      </c>
      <c t="str" r="G51">
        <f>'Unit Prices'!G50</f>
        <v/>
      </c>
      <c t="str" r="H51">
        <f>'Unit Prices'!H50</f>
        <v/>
      </c>
      <c t="str" r="I51">
        <f>'Unit Prices'!I50</f>
        <v/>
      </c>
    </row>
    <row r="52">
      <c t="str" r="A52">
        <f>'Unit Prices'!A51</f>
        <v>SHARED INSTANCES</v>
      </c>
      <c t="str" r="B52">
        <f>'Unit Prices'!B51</f>
        <v/>
      </c>
      <c t="str" r="C52">
        <f>'Unit Prices'!C51</f>
        <v/>
      </c>
      <c t="str" r="D52">
        <f>'Unit Prices'!D51</f>
        <v/>
      </c>
      <c t="str" r="E52">
        <f>'Unit Prices'!E51</f>
        <v/>
      </c>
      <c t="str" r="F52">
        <f>'Unit Prices'!F51</f>
        <v/>
      </c>
      <c t="str" r="G52">
        <f>'Unit Prices'!G51</f>
        <v/>
      </c>
      <c t="str" r="H52">
        <f>'Unit Prices'!H51</f>
        <v/>
      </c>
      <c t="str" r="I52">
        <f>'Unit Prices'!I51</f>
        <v/>
      </c>
    </row>
    <row r="53">
      <c t="str" r="A53">
        <f>'Unit Prices'!A52</f>
        <v>ANY</v>
      </c>
      <c t="str" r="B53">
        <f>'Unit Prices'!B52</f>
        <v>US-EAST</v>
      </c>
      <c t="str" r="C53">
        <f>'Unit Prices'!C52</f>
        <v>STANDARD</v>
      </c>
      <c t="str" r="D53">
        <f>'Unit Prices'!D52</f>
        <v>Compute</v>
      </c>
      <c t="str" r="E53">
        <f>'Unit Prices'!E52</f>
        <v>Medium Instance Type</v>
      </c>
      <c t="str" r="F53">
        <f>'Unit Prices'!F52</f>
        <v>Hourly</v>
      </c>
      <c t="str" r="G53">
        <f>'Unit Prices'!G52</f>
        <v>USD</v>
      </c>
      <c t="str" r="H53">
        <f>'Unit Prices'!H52</f>
        <v>ANY-USE-STND-CMP-MED-WIN-HR-USD</v>
      </c>
      <c r="I53">
        <f>'Unit Prices'!I52</f>
        <v>0.23275</v>
      </c>
      <c t="str" r="J53">
        <f>'Unit Prices'!A50</f>
        <v>WINDOWS INSTANCES</v>
      </c>
    </row>
    <row r="54">
      <c t="str" r="A54">
        <f>'Unit Prices'!A53</f>
        <v>ANY</v>
      </c>
      <c t="str" r="B54">
        <f>'Unit Prices'!B53</f>
        <v>US-EAST</v>
      </c>
      <c t="str" r="C54">
        <f>'Unit Prices'!C53</f>
        <v>STANDARD</v>
      </c>
      <c t="str" r="D54">
        <f>'Unit Prices'!D53</f>
        <v>Compute</v>
      </c>
      <c t="str" r="E54">
        <f>'Unit Prices'!E53</f>
        <v>Large Instance Type</v>
      </c>
      <c t="str" r="F54">
        <f>'Unit Prices'!F53</f>
        <v>Hourly</v>
      </c>
      <c t="str" r="G54">
        <f>'Unit Prices'!G53</f>
        <v>USD</v>
      </c>
      <c t="str" r="H54">
        <f>'Unit Prices'!H53</f>
        <v>ANY-USE-STND-CMP-L-WIN-HR-USD</v>
      </c>
      <c r="I54">
        <f>'Unit Prices'!I53</f>
        <v>0.4655</v>
      </c>
      <c t="str" r="J54">
        <f>'Unit Prices'!A50</f>
        <v>WINDOWS INSTANCES</v>
      </c>
    </row>
    <row r="55">
      <c t="str" r="A55">
        <f>'Unit Prices'!A54</f>
        <v>ANY</v>
      </c>
      <c t="str" r="B55">
        <f>'Unit Prices'!B54</f>
        <v>US-EAST</v>
      </c>
      <c t="str" r="C55">
        <f>'Unit Prices'!C54</f>
        <v>STANDARD</v>
      </c>
      <c t="str" r="D55">
        <f>'Unit Prices'!D54</f>
        <v>Compute</v>
      </c>
      <c t="str" r="E55">
        <f>'Unit Prices'!E54</f>
        <v>x Large Instance Type</v>
      </c>
      <c t="str" r="F55">
        <f>'Unit Prices'!F54</f>
        <v>Hourly</v>
      </c>
      <c t="str" r="G55">
        <f>'Unit Prices'!G54</f>
        <v>USD</v>
      </c>
      <c t="str" r="H55">
        <f>'Unit Prices'!H54</f>
        <v>ANY-USE-STND-CMP-XL-WIN-HR-USD</v>
      </c>
      <c r="I55">
        <f>'Unit Prices'!I54</f>
        <v>0.931</v>
      </c>
      <c t="str" r="J55">
        <f>'Unit Prices'!A50</f>
        <v>WINDOWS INSTANCES</v>
      </c>
    </row>
    <row r="56">
      <c t="str" r="A56">
        <f>'Unit Prices'!A55</f>
        <v>ANY</v>
      </c>
      <c t="str" r="B56">
        <f>'Unit Prices'!B55</f>
        <v>US-EAST</v>
      </c>
      <c t="str" r="C56">
        <f>'Unit Prices'!C55</f>
        <v>STANDARD</v>
      </c>
      <c t="str" r="D56">
        <f>'Unit Prices'!D55</f>
        <v>Compute</v>
      </c>
      <c t="str" r="E56">
        <f>'Unit Prices'!E55</f>
        <v>2x Large Instance Type</v>
      </c>
      <c t="str" r="F56">
        <f>'Unit Prices'!F55</f>
        <v>Hourly</v>
      </c>
      <c t="str" r="G56">
        <f>'Unit Prices'!G55</f>
        <v>USD</v>
      </c>
      <c t="str" r="H56">
        <f>'Unit Prices'!H55</f>
        <v>ANY-USE-STND-CMP-2XL-WIN-HR-USD</v>
      </c>
      <c r="I56">
        <f>'Unit Prices'!I55</f>
        <v>1.862</v>
      </c>
      <c t="str" r="J56">
        <f>'Unit Prices'!A50</f>
        <v>WINDOWS INSTANCES</v>
      </c>
    </row>
    <row r="57">
      <c t="str" r="A57">
        <f>'Unit Prices'!A56</f>
        <v>ANY</v>
      </c>
      <c t="str" r="B57">
        <f>'Unit Prices'!B56</f>
        <v>US-EAST</v>
      </c>
      <c t="str" r="C57">
        <f>'Unit Prices'!C56</f>
        <v>STANDARD</v>
      </c>
      <c t="str" r="D57">
        <f>'Unit Prices'!D56</f>
        <v>Compute</v>
      </c>
      <c t="str" r="E57">
        <f>'Unit Prices'!E56</f>
        <v>Large Instance Type, Gen 2</v>
      </c>
      <c t="str" r="F57">
        <f>'Unit Prices'!F56</f>
        <v>Hourly</v>
      </c>
      <c t="str" r="G57">
        <f>'Unit Prices'!G56</f>
        <v>USD</v>
      </c>
      <c t="str" r="H57">
        <f>'Unit Prices'!H56</f>
        <v>ANY-USE-STND-CMP-L2-WIN-HR-USD</v>
      </c>
      <c r="I57">
        <f>'Unit Prices'!I56</f>
        <v>0.329</v>
      </c>
      <c t="str" r="J57">
        <f>'Unit Prices'!A50</f>
        <v>WINDOWS INSTANCES</v>
      </c>
    </row>
    <row r="58">
      <c t="str" r="A58">
        <f>'Unit Prices'!A57</f>
        <v>ANY</v>
      </c>
      <c t="str" r="B58">
        <f>'Unit Prices'!B57</f>
        <v>US-EAST</v>
      </c>
      <c t="str" r="C58">
        <f>'Unit Prices'!C57</f>
        <v>STANDARD</v>
      </c>
      <c t="str" r="D58">
        <f>'Unit Prices'!D57</f>
        <v>Compute</v>
      </c>
      <c t="str" r="E58">
        <f>'Unit Prices'!E57</f>
        <v>4x Large Instance Type</v>
      </c>
      <c t="str" r="F58">
        <f>'Unit Prices'!F57</f>
        <v>Hourly</v>
      </c>
      <c t="str" r="G58">
        <f>'Unit Prices'!G57</f>
        <v>USD</v>
      </c>
      <c t="str" r="H58">
        <f>'Unit Prices'!H57</f>
        <v>ANY-USE-STND-CMP-4XL-WIN-HR-USD</v>
      </c>
      <c r="I58">
        <f>'Unit Prices'!I57</f>
        <v>2.632</v>
      </c>
      <c t="str" r="J58">
        <f>'Unit Prices'!A50</f>
        <v>WINDOWS INSTANCES</v>
      </c>
    </row>
    <row r="59">
      <c t="str" r="A59">
        <f>'Unit Prices'!A58</f>
        <v>ANY</v>
      </c>
      <c t="str" r="B59">
        <f>'Unit Prices'!B58</f>
        <v>US-EAST</v>
      </c>
      <c t="str" r="C59">
        <f>'Unit Prices'!C58</f>
        <v>STANDARD</v>
      </c>
      <c t="str" r="D59">
        <f>'Unit Prices'!D58</f>
        <v>Compute</v>
      </c>
      <c t="str" r="E59">
        <f>'Unit Prices'!E58</f>
        <v>High CPU 8x Large Instance Type</v>
      </c>
      <c t="str" r="F59">
        <f>'Unit Prices'!F58</f>
        <v>Hourly</v>
      </c>
      <c t="str" r="G59">
        <f>'Unit Prices'!G58</f>
        <v>USD</v>
      </c>
      <c t="str" r="H59">
        <f>'Unit Prices'!H58</f>
        <v>ANY-USE-STND-CMP-HC8XL2-WIN-HR-USD</v>
      </c>
      <c r="I59">
        <f>'Unit Prices'!I58</f>
        <v>5.264</v>
      </c>
      <c t="str" r="J59">
        <f>'Unit Prices'!A50</f>
        <v>WINDOWS INSTANCES</v>
      </c>
    </row>
    <row r="60">
      <c t="str" r="A60">
        <f>'Unit Prices'!A59</f>
        <v>ANY</v>
      </c>
      <c t="str" r="B60">
        <f>'Unit Prices'!B59</f>
        <v>US-EAST</v>
      </c>
      <c t="str" r="C60">
        <f>'Unit Prices'!C59</f>
        <v>STANDARD</v>
      </c>
      <c t="str" r="D60">
        <f>'Unit Prices'!D59</f>
        <v>Compute</v>
      </c>
      <c t="str" r="E60">
        <f>'Unit Prices'!E59</f>
        <v>High Storage 8x Large Instance Type</v>
      </c>
      <c t="str" r="F60">
        <f>'Unit Prices'!F59</f>
        <v>Hourly</v>
      </c>
      <c t="str" r="G60">
        <f>'Unit Prices'!G59</f>
        <v>USD</v>
      </c>
      <c t="str" r="H60">
        <f>'Unit Prices'!H59</f>
        <v>ANY-USE-STND-CMP-HS8XL2-WIN-HR-USD</v>
      </c>
      <c r="I60">
        <f>'Unit Prices'!I59</f>
        <v>8.62925</v>
      </c>
      <c t="str" r="J60">
        <f>'Unit Prices'!A50</f>
        <v>WINDOWS INSTANCES</v>
      </c>
    </row>
    <row r="61">
      <c t="str" r="A61">
        <f>'Unit Prices'!A60</f>
        <v>AWS</v>
      </c>
      <c t="str" r="B61">
        <f>'Unit Prices'!B60</f>
        <v>US-EAST</v>
      </c>
      <c t="str" r="C61">
        <f>'Unit Prices'!C60</f>
        <v>STANDARD</v>
      </c>
      <c t="str" r="D61">
        <f>'Unit Prices'!D60</f>
        <v>Compute</v>
      </c>
      <c t="str" r="E61">
        <f>'Unit Prices'!E60</f>
        <v>Medium Instance Type</v>
      </c>
      <c t="str" r="F61">
        <f>'Unit Prices'!F60</f>
        <v>Hourly</v>
      </c>
      <c t="str" r="G61">
        <f>'Unit Prices'!G60</f>
        <v>USD</v>
      </c>
      <c t="str" r="H61">
        <f>'Unit Prices'!H60</f>
        <v>AWS-USE-STND-CMP-MED-WIN-HR-USD</v>
      </c>
      <c r="I61">
        <f>'Unit Prices'!I60</f>
        <v>0.23275</v>
      </c>
      <c t="str" r="J61">
        <f>'Unit Prices'!A50</f>
        <v>WINDOWS INSTANCES</v>
      </c>
    </row>
    <row r="62">
      <c t="str" r="A62">
        <f>'Unit Prices'!A61</f>
        <v>AWS</v>
      </c>
      <c t="str" r="B62">
        <f>'Unit Prices'!B61</f>
        <v>US-EAST</v>
      </c>
      <c t="str" r="C62">
        <f>'Unit Prices'!C61</f>
        <v>STANDARD</v>
      </c>
      <c t="str" r="D62">
        <f>'Unit Prices'!D61</f>
        <v>Compute</v>
      </c>
      <c t="str" r="E62">
        <f>'Unit Prices'!E61</f>
        <v>Large Instance Type</v>
      </c>
      <c t="str" r="F62">
        <f>'Unit Prices'!F61</f>
        <v>Hourly</v>
      </c>
      <c t="str" r="G62">
        <f>'Unit Prices'!G61</f>
        <v>USD</v>
      </c>
      <c t="str" r="H62">
        <f>'Unit Prices'!H61</f>
        <v>AWS-USE-STND-CMP-L-WIN-HR-USD</v>
      </c>
      <c r="I62">
        <f>'Unit Prices'!I61</f>
        <v>0.4655</v>
      </c>
      <c t="str" r="J62">
        <f>'Unit Prices'!A50</f>
        <v>WINDOWS INSTANCES</v>
      </c>
    </row>
    <row r="63">
      <c t="str" r="A63">
        <f>'Unit Prices'!A62</f>
        <v>AWS</v>
      </c>
      <c t="str" r="B63">
        <f>'Unit Prices'!B62</f>
        <v>US-EAST</v>
      </c>
      <c t="str" r="C63">
        <f>'Unit Prices'!C62</f>
        <v>STANDARD</v>
      </c>
      <c t="str" r="D63">
        <f>'Unit Prices'!D62</f>
        <v>Compute</v>
      </c>
      <c t="str" r="E63">
        <f>'Unit Prices'!E62</f>
        <v>x Large Instance Type</v>
      </c>
      <c t="str" r="F63">
        <f>'Unit Prices'!F62</f>
        <v>Hourly</v>
      </c>
      <c t="str" r="G63">
        <f>'Unit Prices'!G62</f>
        <v>USD</v>
      </c>
      <c t="str" r="H63">
        <f>'Unit Prices'!H62</f>
        <v>AWS-USE-STND-CMP-XL-WIN-HR-USD</v>
      </c>
      <c r="I63">
        <f>'Unit Prices'!I62</f>
        <v>0.931</v>
      </c>
      <c t="str" r="J63">
        <f>'Unit Prices'!A50</f>
        <v>WINDOWS INSTANCES</v>
      </c>
    </row>
    <row r="64">
      <c t="str" r="A64">
        <f>'Unit Prices'!A63</f>
        <v>AWS</v>
      </c>
      <c t="str" r="B64">
        <f>'Unit Prices'!B63</f>
        <v>US-EAST</v>
      </c>
      <c t="str" r="C64">
        <f>'Unit Prices'!C63</f>
        <v>STANDARD</v>
      </c>
      <c t="str" r="D64">
        <f>'Unit Prices'!D63</f>
        <v>Compute</v>
      </c>
      <c t="str" r="E64">
        <f>'Unit Prices'!E63</f>
        <v>2x Large Instance Type</v>
      </c>
      <c t="str" r="F64">
        <f>'Unit Prices'!F63</f>
        <v>Hourly</v>
      </c>
      <c t="str" r="G64">
        <f>'Unit Prices'!G63</f>
        <v>USD</v>
      </c>
      <c t="str" r="H64">
        <f>'Unit Prices'!H63</f>
        <v>AWS-USE-STND-CMP-2XL-WIN-HR-USD</v>
      </c>
      <c r="I64">
        <f>'Unit Prices'!I63</f>
        <v>1.862</v>
      </c>
      <c t="str" r="J64">
        <f>'Unit Prices'!A50</f>
        <v>WINDOWS INSTANCES</v>
      </c>
    </row>
    <row r="65">
      <c t="str" r="A65">
        <f>'Unit Prices'!A64</f>
        <v>AWS</v>
      </c>
      <c t="str" r="B65">
        <f>'Unit Prices'!B64</f>
        <v>US-EAST</v>
      </c>
      <c t="str" r="C65">
        <f>'Unit Prices'!C64</f>
        <v>STANDARD</v>
      </c>
      <c t="str" r="D65">
        <f>'Unit Prices'!D64</f>
        <v>Compute</v>
      </c>
      <c t="str" r="E65">
        <f>'Unit Prices'!E64</f>
        <v>Large Instance Type, Gen 2</v>
      </c>
      <c t="str" r="F65">
        <f>'Unit Prices'!F64</f>
        <v>Hourly</v>
      </c>
      <c t="str" r="G65">
        <f>'Unit Prices'!G64</f>
        <v>USD</v>
      </c>
      <c t="str" r="H65">
        <f>'Unit Prices'!H64</f>
        <v>AWS-USE-STND-CMP-L-WING2-HR-USD</v>
      </c>
      <c r="I65">
        <f>'Unit Prices'!I64</f>
        <v>0.329</v>
      </c>
      <c t="str" r="J65">
        <f>'Unit Prices'!A50</f>
        <v>WINDOWS INSTANCES</v>
      </c>
    </row>
    <row r="66">
      <c t="str" r="A66">
        <f>'Unit Prices'!A65</f>
        <v>AWS</v>
      </c>
      <c t="str" r="B66">
        <f>'Unit Prices'!B65</f>
        <v>US-EAST</v>
      </c>
      <c t="str" r="C66">
        <f>'Unit Prices'!C65</f>
        <v>STANDARD</v>
      </c>
      <c t="str" r="D66">
        <f>'Unit Prices'!D65</f>
        <v>Compute</v>
      </c>
      <c t="str" r="E66">
        <f>'Unit Prices'!E65</f>
        <v>4x Large Instance Type</v>
      </c>
      <c t="str" r="F66">
        <f>'Unit Prices'!F65</f>
        <v>Hourly</v>
      </c>
      <c t="str" r="G66">
        <f>'Unit Prices'!G65</f>
        <v>USD</v>
      </c>
      <c t="str" r="H66">
        <f>'Unit Prices'!H65</f>
        <v>AWS-USE-STND-CMP-4XL-WIN-HR-USD</v>
      </c>
      <c r="I66">
        <f>'Unit Prices'!I65</f>
        <v>2.632</v>
      </c>
      <c t="str" r="J66">
        <f>'Unit Prices'!A50</f>
        <v>WINDOWS INSTANCES</v>
      </c>
    </row>
    <row r="67">
      <c t="str" r="A67">
        <f>'Unit Prices'!A66</f>
        <v>AWS</v>
      </c>
      <c t="str" r="B67">
        <f>'Unit Prices'!B66</f>
        <v>US-EAST</v>
      </c>
      <c t="str" r="C67">
        <f>'Unit Prices'!C66</f>
        <v>STANDARD</v>
      </c>
      <c t="str" r="D67">
        <f>'Unit Prices'!D66</f>
        <v>Compute</v>
      </c>
      <c t="str" r="E67">
        <f>'Unit Prices'!E66</f>
        <v>High CPU 8x Large Instance Type</v>
      </c>
      <c t="str" r="F67">
        <f>'Unit Prices'!F66</f>
        <v>Hourly</v>
      </c>
      <c t="str" r="G67">
        <f>'Unit Prices'!G66</f>
        <v>USD</v>
      </c>
      <c t="str" r="H67">
        <f>'Unit Prices'!H66</f>
        <v>AWS-USE-STND-CMP-HC8XL2-WIN-HR-USD</v>
      </c>
      <c r="I67">
        <f>'Unit Prices'!I66</f>
        <v>5.264</v>
      </c>
      <c t="str" r="J67">
        <f>'Unit Prices'!A50</f>
        <v>WINDOWS INSTANCES</v>
      </c>
    </row>
    <row r="68">
      <c t="str" r="A68">
        <f>'Unit Prices'!A67</f>
        <v>AWS</v>
      </c>
      <c t="str" r="B68">
        <f>'Unit Prices'!B67</f>
        <v>US-EAST</v>
      </c>
      <c t="str" r="C68">
        <f>'Unit Prices'!C67</f>
        <v>STANDARD</v>
      </c>
      <c t="str" r="D68">
        <f>'Unit Prices'!D67</f>
        <v>Compute</v>
      </c>
      <c t="str" r="E68">
        <f>'Unit Prices'!E67</f>
        <v>High Storage 8x Large Instance Type</v>
      </c>
      <c t="str" r="F68">
        <f>'Unit Prices'!F67</f>
        <v>Hourly</v>
      </c>
      <c t="str" r="G68">
        <f>'Unit Prices'!G67</f>
        <v>USD</v>
      </c>
      <c t="str" r="H68">
        <f>'Unit Prices'!H67</f>
        <v>AWS-USE-STND-CMP-HS8XL2-WIN-HR-USD</v>
      </c>
      <c r="I68">
        <f>'Unit Prices'!I67</f>
        <v>8.62925</v>
      </c>
      <c t="str" r="J68">
        <f>'Unit Prices'!A50</f>
        <v>WINDOWS INSTANCES</v>
      </c>
    </row>
    <row r="69">
      <c t="str" r="A69">
        <f>'Unit Prices'!A68</f>
        <v/>
      </c>
      <c t="str" r="B69">
        <f>'Unit Prices'!B68</f>
        <v/>
      </c>
      <c t="str" r="C69">
        <f>'Unit Prices'!C68</f>
        <v/>
      </c>
      <c t="str" r="D69">
        <f>'Unit Prices'!D68</f>
        <v/>
      </c>
      <c t="str" r="E69">
        <f>'Unit Prices'!E68</f>
        <v/>
      </c>
      <c t="str" r="F69">
        <f>'Unit Prices'!F68</f>
        <v/>
      </c>
      <c t="str" r="G69">
        <f>'Unit Prices'!G68</f>
        <v/>
      </c>
      <c t="str" r="H69">
        <f>'Unit Prices'!H68</f>
        <v/>
      </c>
      <c t="str" r="I69">
        <f>'Unit Prices'!I68</f>
        <v/>
      </c>
      <c t="str" r="J69">
        <f>'Unit Prices'!A50</f>
        <v>WINDOWS INSTANCES</v>
      </c>
    </row>
    <row r="70">
      <c t="str" r="A70">
        <f>'Unit Prices'!A69</f>
        <v/>
      </c>
      <c t="str" r="B70">
        <f>'Unit Prices'!B69</f>
        <v/>
      </c>
      <c t="str" r="C70">
        <f>'Unit Prices'!C69</f>
        <v/>
      </c>
      <c t="str" r="D70">
        <f>'Unit Prices'!D69</f>
        <v/>
      </c>
      <c t="str" r="E70">
        <f>'Unit Prices'!E69</f>
        <v/>
      </c>
      <c t="str" r="F70">
        <f>'Unit Prices'!F69</f>
        <v/>
      </c>
      <c t="str" r="G70">
        <f>'Unit Prices'!G69</f>
        <v/>
      </c>
      <c t="str" r="H70">
        <f>'Unit Prices'!H69</f>
        <v/>
      </c>
      <c t="str" r="I70">
        <f>'Unit Prices'!I69</f>
        <v/>
      </c>
      <c t="str" r="J70">
        <f>'Unit Prices'!A50</f>
        <v>WINDOWS INSTANCES</v>
      </c>
    </row>
    <row r="71">
      <c t="str" r="A71">
        <f>'Unit Prices'!A70</f>
        <v/>
      </c>
      <c t="str" r="B71">
        <f>'Unit Prices'!B70</f>
        <v/>
      </c>
      <c t="str" r="C71">
        <f>'Unit Prices'!C70</f>
        <v/>
      </c>
      <c t="str" r="D71">
        <f>'Unit Prices'!D70</f>
        <v/>
      </c>
      <c t="str" r="E71">
        <f>'Unit Prices'!E70</f>
        <v/>
      </c>
      <c t="str" r="F71">
        <f>'Unit Prices'!F70</f>
        <v/>
      </c>
      <c t="str" r="G71">
        <f>'Unit Prices'!G70</f>
        <v/>
      </c>
      <c t="str" r="H71">
        <f>'Unit Prices'!H70</f>
        <v/>
      </c>
      <c t="str" r="I71">
        <f>'Unit Prices'!I70</f>
        <v/>
      </c>
      <c t="str" r="J71">
        <f>'Unit Prices'!A50</f>
        <v>WINDOWS INSTANCES</v>
      </c>
    </row>
    <row r="72">
      <c t="str" r="A72">
        <f>'Unit Prices'!A71</f>
        <v/>
      </c>
      <c t="str" r="B72">
        <f>'Unit Prices'!B71</f>
        <v/>
      </c>
      <c t="str" r="C72">
        <f>'Unit Prices'!C71</f>
        <v/>
      </c>
      <c t="str" r="D72">
        <f>'Unit Prices'!D71</f>
        <v/>
      </c>
      <c t="str" r="E72">
        <f>'Unit Prices'!E71</f>
        <v/>
      </c>
      <c t="str" r="F72">
        <f>'Unit Prices'!F71</f>
        <v/>
      </c>
      <c t="str" r="G72">
        <f>'Unit Prices'!G71</f>
        <v/>
      </c>
      <c t="str" r="H72">
        <f>'Unit Prices'!H71</f>
        <v/>
      </c>
      <c t="str" r="I72">
        <f>'Unit Prices'!I71</f>
        <v/>
      </c>
      <c t="str" r="J72">
        <f>'Unit Prices'!A50</f>
        <v>WINDOWS INSTANCES</v>
      </c>
    </row>
    <row r="73">
      <c t="str" r="A73">
        <f>'Unit Prices'!A72</f>
        <v/>
      </c>
      <c t="str" r="B73">
        <f>'Unit Prices'!B72</f>
        <v/>
      </c>
      <c t="str" r="C73">
        <f>'Unit Prices'!C72</f>
        <v/>
      </c>
      <c t="str" r="D73">
        <f>'Unit Prices'!D72</f>
        <v/>
      </c>
      <c t="str" r="E73">
        <f>'Unit Prices'!E72</f>
        <v/>
      </c>
      <c t="str" r="F73">
        <f>'Unit Prices'!F72</f>
        <v/>
      </c>
      <c t="str" r="G73">
        <f>'Unit Prices'!G72</f>
        <v/>
      </c>
      <c t="str" r="H73">
        <f>'Unit Prices'!H72</f>
        <v/>
      </c>
      <c t="str" r="I73">
        <f>'Unit Prices'!I72</f>
        <v/>
      </c>
      <c t="str" r="J73">
        <f>'Unit Prices'!A50</f>
        <v>WINDOWS INSTANCES</v>
      </c>
    </row>
    <row r="74">
      <c t="str" r="A74">
        <f>'Unit Prices'!A73</f>
        <v/>
      </c>
      <c t="str" r="B74">
        <f>'Unit Prices'!B73</f>
        <v/>
      </c>
      <c t="str" r="C74">
        <f>'Unit Prices'!C73</f>
        <v/>
      </c>
      <c t="str" r="D74">
        <f>'Unit Prices'!D73</f>
        <v/>
      </c>
      <c t="str" r="E74">
        <f>'Unit Prices'!E73</f>
        <v/>
      </c>
      <c t="str" r="F74">
        <f>'Unit Prices'!F73</f>
        <v/>
      </c>
      <c t="str" r="G74">
        <f>'Unit Prices'!G73</f>
        <v/>
      </c>
      <c t="str" r="H74">
        <f>'Unit Prices'!H73</f>
        <v/>
      </c>
      <c t="str" r="I74">
        <f>'Unit Prices'!I73</f>
        <v/>
      </c>
      <c t="str" r="J74">
        <f>'Unit Prices'!A50</f>
        <v>WINDOWS INSTANCES</v>
      </c>
    </row>
    <row r="75">
      <c t="str" r="A75">
        <f>'Unit Prices'!A74</f>
        <v>WINDOWS INSTANCES WITH SQL SERVER</v>
      </c>
      <c t="str" r="B75">
        <f>'Unit Prices'!B74</f>
        <v/>
      </c>
      <c t="str" r="C75">
        <f>'Unit Prices'!C74</f>
        <v/>
      </c>
      <c t="str" r="D75">
        <f>'Unit Prices'!D74</f>
        <v/>
      </c>
      <c t="str" r="E75">
        <f>'Unit Prices'!E74</f>
        <v/>
      </c>
      <c t="str" r="F75">
        <f>'Unit Prices'!F74</f>
        <v/>
      </c>
      <c t="str" r="G75">
        <f>'Unit Prices'!G74</f>
        <v/>
      </c>
      <c t="str" r="H75">
        <f>'Unit Prices'!H74</f>
        <v/>
      </c>
      <c t="str" r="I75">
        <f>'Unit Prices'!I74</f>
        <v/>
      </c>
    </row>
    <row r="76">
      <c t="str" r="A76">
        <f>'Unit Prices'!A75</f>
        <v>SHARED INSTANCES</v>
      </c>
      <c t="str" r="B76">
        <f>'Unit Prices'!B75</f>
        <v/>
      </c>
      <c t="str" r="C76">
        <f>'Unit Prices'!C75</f>
        <v/>
      </c>
      <c t="str" r="D76">
        <f>'Unit Prices'!D75</f>
        <v/>
      </c>
      <c t="str" r="E76">
        <f>'Unit Prices'!E75</f>
        <v/>
      </c>
      <c t="str" r="F76">
        <f>'Unit Prices'!F75</f>
        <v/>
      </c>
      <c t="str" r="G76">
        <f>'Unit Prices'!G75</f>
        <v/>
      </c>
      <c t="str" r="H76">
        <f>'Unit Prices'!H75</f>
        <v/>
      </c>
      <c t="str" r="I76">
        <f>'Unit Prices'!I75</f>
        <v/>
      </c>
    </row>
    <row r="77">
      <c t="str" r="A77">
        <f>'Unit Prices'!A76</f>
        <v>ANY</v>
      </c>
      <c t="str" r="B77">
        <f>'Unit Prices'!B76</f>
        <v>US-EAST</v>
      </c>
      <c t="str" r="C77">
        <f>'Unit Prices'!C76</f>
        <v>STANDARD</v>
      </c>
      <c t="str" r="D77">
        <f>'Unit Prices'!D76</f>
        <v>Compute</v>
      </c>
      <c t="str" r="E77">
        <f>'Unit Prices'!E76</f>
        <v>Medium Instance Type</v>
      </c>
      <c t="str" r="F77">
        <f>'Unit Prices'!F76</f>
        <v>Hourly</v>
      </c>
      <c t="str" r="G77">
        <f>'Unit Prices'!G76</f>
        <v>USD</v>
      </c>
      <c t="str" r="H77">
        <f>'Unit Prices'!H76</f>
        <v>ANY-USE-STND-CMP-MED-WINSQL-HR-USD</v>
      </c>
      <c r="I77">
        <f>'Unit Prices'!I76</f>
        <v>0.623</v>
      </c>
      <c t="str" r="J77">
        <f>'Unit Prices'!A74</f>
        <v>WINDOWS INSTANCES WITH SQL SERVER</v>
      </c>
    </row>
    <row r="78">
      <c t="str" r="A78">
        <f>'Unit Prices'!A77</f>
        <v>ANY</v>
      </c>
      <c t="str" r="B78">
        <f>'Unit Prices'!B77</f>
        <v>US-EAST</v>
      </c>
      <c t="str" r="C78">
        <f>'Unit Prices'!C77</f>
        <v>STANDARD</v>
      </c>
      <c t="str" r="D78">
        <f>'Unit Prices'!D77</f>
        <v>Compute</v>
      </c>
      <c t="str" r="E78">
        <f>'Unit Prices'!E77</f>
        <v>Large Instance Type</v>
      </c>
      <c t="str" r="F78">
        <f>'Unit Prices'!F77</f>
        <v>Hourly</v>
      </c>
      <c t="str" r="G78">
        <f>'Unit Prices'!G77</f>
        <v>USD</v>
      </c>
      <c t="str" r="H78">
        <f>'Unit Prices'!H77</f>
        <v>ANY-USE-STND-CMP-L-WINSQL-HR-USD</v>
      </c>
      <c r="I78">
        <f>'Unit Prices'!I77</f>
        <v>1.24425</v>
      </c>
      <c t="str" r="J78">
        <f>'Unit Prices'!A74</f>
        <v>WINDOWS INSTANCES WITH SQL SERVER</v>
      </c>
    </row>
    <row r="79">
      <c t="str" r="A79">
        <f>'Unit Prices'!A78</f>
        <v>ANY</v>
      </c>
      <c t="str" r="B79">
        <f>'Unit Prices'!B78</f>
        <v>US-EAST</v>
      </c>
      <c t="str" r="C79">
        <f>'Unit Prices'!C78</f>
        <v>STANDARD</v>
      </c>
      <c t="str" r="D79">
        <f>'Unit Prices'!D78</f>
        <v>Compute</v>
      </c>
      <c t="str" r="E79">
        <f>'Unit Prices'!E78</f>
        <v>x Large Instance Type</v>
      </c>
      <c t="str" r="F79">
        <f>'Unit Prices'!F78</f>
        <v>Hourly</v>
      </c>
      <c t="str" r="G79">
        <f>'Unit Prices'!G78</f>
        <v>USD</v>
      </c>
      <c t="str" r="H79">
        <f>'Unit Prices'!H78</f>
        <v>ANY-USE-STND-CMP-XL-WINSQL-HR-USD</v>
      </c>
      <c r="I79">
        <f>'Unit Prices'!I78</f>
        <v>2.24</v>
      </c>
      <c t="str" r="J79">
        <f>'Unit Prices'!A74</f>
        <v>WINDOWS INSTANCES WITH SQL SERVER</v>
      </c>
    </row>
    <row r="80">
      <c t="str" r="A80">
        <f>'Unit Prices'!A79</f>
        <v>ANY</v>
      </c>
      <c t="str" r="B80">
        <f>'Unit Prices'!B79</f>
        <v>US-EAST</v>
      </c>
      <c t="str" r="C80">
        <f>'Unit Prices'!C79</f>
        <v>STANDARD</v>
      </c>
      <c t="str" r="D80">
        <f>'Unit Prices'!D79</f>
        <v>Compute</v>
      </c>
      <c t="str" r="E80">
        <f>'Unit Prices'!E79</f>
        <v>2x Large Instance Type</v>
      </c>
      <c t="str" r="F80">
        <f>'Unit Prices'!F79</f>
        <v>Hourly</v>
      </c>
      <c t="str" r="G80">
        <f>'Unit Prices'!G79</f>
        <v>USD</v>
      </c>
      <c t="str" r="H80">
        <f>'Unit Prices'!H79</f>
        <v>ANY-USE-STND-CMP-2XL-WINSQL-HR-USD</v>
      </c>
      <c r="I80">
        <f>'Unit Prices'!I79</f>
        <v>4.48</v>
      </c>
      <c t="str" r="J80">
        <f>'Unit Prices'!A74</f>
        <v>WINDOWS INSTANCES WITH SQL SERVER</v>
      </c>
    </row>
    <row r="81">
      <c t="str" r="A81">
        <f>'Unit Prices'!A80</f>
        <v>ANY</v>
      </c>
      <c t="str" r="B81">
        <f>'Unit Prices'!B80</f>
        <v>US-EAST</v>
      </c>
      <c t="str" r="C81">
        <f>'Unit Prices'!C80</f>
        <v>STANDARD</v>
      </c>
      <c t="str" r="D81">
        <f>'Unit Prices'!D80</f>
        <v>Compute</v>
      </c>
      <c t="str" r="E81">
        <f>'Unit Prices'!E80</f>
        <v>Large Instance Type, Gen 2</v>
      </c>
      <c t="str" r="F81">
        <f>'Unit Prices'!F80</f>
        <v>Hourly</v>
      </c>
      <c t="str" r="G81">
        <f>'Unit Prices'!G80</f>
        <v>USD</v>
      </c>
      <c t="str" r="H81">
        <f>'Unit Prices'!H80</f>
        <v>ANY-USE-STND-CMP-L2-WINSQL-HR-USD</v>
      </c>
      <c r="I81">
        <f>'Unit Prices'!I80</f>
        <v>0.98175</v>
      </c>
      <c t="str" r="J81">
        <f>'Unit Prices'!A74</f>
        <v>WINDOWS INSTANCES WITH SQL SERVER</v>
      </c>
    </row>
    <row r="82">
      <c t="str" r="A82">
        <f>'Unit Prices'!A81</f>
        <v>ANY</v>
      </c>
      <c t="str" r="B82">
        <f>'Unit Prices'!B81</f>
        <v>US-EAST</v>
      </c>
      <c t="str" r="C82">
        <f>'Unit Prices'!C81</f>
        <v>STANDARD</v>
      </c>
      <c t="str" r="D82">
        <f>'Unit Prices'!D81</f>
        <v>Compute</v>
      </c>
      <c t="str" r="E82">
        <f>'Unit Prices'!E81</f>
        <v>4x Large Instance Type</v>
      </c>
      <c t="str" r="F82">
        <f>'Unit Prices'!F81</f>
        <v>Hourly</v>
      </c>
      <c t="str" r="G82">
        <f>'Unit Prices'!G81</f>
        <v>USD</v>
      </c>
      <c t="str" r="H82">
        <f>'Unit Prices'!H81</f>
        <v>ANY-USE-STND-CMP-4XL-WINSQL-HR-USD</v>
      </c>
      <c r="I82">
        <f>'Unit Prices'!I81</f>
        <v>7.4585</v>
      </c>
      <c t="str" r="J82">
        <f>'Unit Prices'!A74</f>
        <v>WINDOWS INSTANCES WITH SQL SERVER</v>
      </c>
    </row>
    <row r="83">
      <c t="str" r="A83">
        <f>'Unit Prices'!A82</f>
        <v>ANY</v>
      </c>
      <c t="str" r="B83">
        <f>'Unit Prices'!B82</f>
        <v>US-EAST</v>
      </c>
      <c t="str" r="C83">
        <f>'Unit Prices'!C82</f>
        <v>STANDARD</v>
      </c>
      <c t="str" r="D83">
        <f>'Unit Prices'!D82</f>
        <v>Compute</v>
      </c>
      <c t="str" r="E83">
        <f>'Unit Prices'!E82</f>
        <v>High CPU 8x Large Instance Type</v>
      </c>
      <c t="str" r="F83">
        <f>'Unit Prices'!F82</f>
        <v>Hourly</v>
      </c>
      <c t="str" r="G83">
        <f>'Unit Prices'!G82</f>
        <v>USD</v>
      </c>
      <c t="str" r="H83">
        <f>'Unit Prices'!H82</f>
        <v>ANY-USE-STND-CMP-HC8XL2-WINSQL-HR-USD</v>
      </c>
      <c r="I83">
        <f>'Unit Prices'!I82</f>
        <v>14.91525</v>
      </c>
      <c t="str" r="J83">
        <f>'Unit Prices'!A74</f>
        <v>WINDOWS INSTANCES WITH SQL SERVER</v>
      </c>
    </row>
    <row r="84">
      <c t="str" r="A84">
        <f>'Unit Prices'!A83</f>
        <v>ANY</v>
      </c>
      <c t="str" r="B84">
        <f>'Unit Prices'!B83</f>
        <v>US-EAST</v>
      </c>
      <c t="str" r="C84">
        <f>'Unit Prices'!C83</f>
        <v>STANDARD</v>
      </c>
      <c t="str" r="D84">
        <f>'Unit Prices'!D83</f>
        <v>Compute</v>
      </c>
      <c t="str" r="E84">
        <f>'Unit Prices'!E83</f>
        <v>High Storage 8x Large Instance Type</v>
      </c>
      <c t="str" r="F84">
        <f>'Unit Prices'!F83</f>
        <v>Hourly</v>
      </c>
      <c t="str" r="G84">
        <f>'Unit Prices'!G83</f>
        <v>USD</v>
      </c>
      <c t="str" r="H84">
        <f>'Unit Prices'!H83</f>
        <v>ANY-USE-STND-CMP-HS8XL2-WINSQL-HR-USD</v>
      </c>
      <c r="I84">
        <f>'Unit Prices'!I83</f>
        <v>14.6125</v>
      </c>
      <c t="str" r="J84">
        <f>'Unit Prices'!A74</f>
        <v>WINDOWS INSTANCES WITH SQL SERVER</v>
      </c>
    </row>
    <row r="85">
      <c t="str" r="A85">
        <f>'Unit Prices'!A84</f>
        <v>AWS</v>
      </c>
      <c t="str" r="B85">
        <f>'Unit Prices'!B84</f>
        <v>US-EAST</v>
      </c>
      <c t="str" r="C85">
        <f>'Unit Prices'!C84</f>
        <v>STANDARD</v>
      </c>
      <c t="str" r="D85">
        <f>'Unit Prices'!D84</f>
        <v>Compute</v>
      </c>
      <c t="str" r="E85">
        <f>'Unit Prices'!E84</f>
        <v>Medium Instance Type</v>
      </c>
      <c t="str" r="F85">
        <f>'Unit Prices'!F84</f>
        <v>Hourly</v>
      </c>
      <c t="str" r="G85">
        <f>'Unit Prices'!G84</f>
        <v>USD</v>
      </c>
      <c t="str" r="H85">
        <f>'Unit Prices'!H84</f>
        <v>AWS-USE-STND-CMP-MED-WINSQL-HR-USD</v>
      </c>
      <c r="I85">
        <f>'Unit Prices'!I84</f>
        <v>0.623</v>
      </c>
      <c t="str" r="J85">
        <f>'Unit Prices'!A74</f>
        <v>WINDOWS INSTANCES WITH SQL SERVER</v>
      </c>
    </row>
    <row r="86">
      <c t="str" r="A86">
        <f>'Unit Prices'!A85</f>
        <v>AWS</v>
      </c>
      <c t="str" r="B86">
        <f>'Unit Prices'!B85</f>
        <v>US-EAST</v>
      </c>
      <c t="str" r="C86">
        <f>'Unit Prices'!C85</f>
        <v>STANDARD</v>
      </c>
      <c t="str" r="D86">
        <f>'Unit Prices'!D85</f>
        <v>Compute</v>
      </c>
      <c t="str" r="E86">
        <f>'Unit Prices'!E85</f>
        <v>Large Instance Type</v>
      </c>
      <c t="str" r="F86">
        <f>'Unit Prices'!F85</f>
        <v>Hourly</v>
      </c>
      <c t="str" r="G86">
        <f>'Unit Prices'!G85</f>
        <v>USD</v>
      </c>
      <c t="str" r="H86">
        <f>'Unit Prices'!H85</f>
        <v>AWS-USE-STND-CMP-L-WINSQL-HR-USD</v>
      </c>
      <c r="I86">
        <f>'Unit Prices'!I85</f>
        <v>1.24425</v>
      </c>
      <c t="str" r="J86">
        <f>'Unit Prices'!A74</f>
        <v>WINDOWS INSTANCES WITH SQL SERVER</v>
      </c>
    </row>
    <row r="87">
      <c t="str" r="A87">
        <f>'Unit Prices'!A86</f>
        <v>AWS</v>
      </c>
      <c t="str" r="B87">
        <f>'Unit Prices'!B86</f>
        <v>US-EAST</v>
      </c>
      <c t="str" r="C87">
        <f>'Unit Prices'!C86</f>
        <v>STANDARD</v>
      </c>
      <c t="str" r="D87">
        <f>'Unit Prices'!D86</f>
        <v>Compute</v>
      </c>
      <c t="str" r="E87">
        <f>'Unit Prices'!E86</f>
        <v>x Large Instance Type</v>
      </c>
      <c t="str" r="F87">
        <f>'Unit Prices'!F86</f>
        <v>Hourly</v>
      </c>
      <c t="str" r="G87">
        <f>'Unit Prices'!G86</f>
        <v>USD</v>
      </c>
      <c t="str" r="H87">
        <f>'Unit Prices'!H86</f>
        <v>AWS-USE-STND-CMP-XL-WINSQL-HR-USD</v>
      </c>
      <c r="I87">
        <f>'Unit Prices'!I86</f>
        <v>2.24</v>
      </c>
      <c t="str" r="J87">
        <f>'Unit Prices'!A74</f>
        <v>WINDOWS INSTANCES WITH SQL SERVER</v>
      </c>
    </row>
    <row r="88">
      <c t="str" r="A88">
        <f>'Unit Prices'!A87</f>
        <v>AWS</v>
      </c>
      <c t="str" r="B88">
        <f>'Unit Prices'!B87</f>
        <v>US-EAST</v>
      </c>
      <c t="str" r="C88">
        <f>'Unit Prices'!C87</f>
        <v>STANDARD</v>
      </c>
      <c t="str" r="D88">
        <f>'Unit Prices'!D87</f>
        <v>Compute</v>
      </c>
      <c t="str" r="E88">
        <f>'Unit Prices'!E87</f>
        <v>2x Large Instance Type</v>
      </c>
      <c t="str" r="F88">
        <f>'Unit Prices'!F87</f>
        <v>Hourly</v>
      </c>
      <c t="str" r="G88">
        <f>'Unit Prices'!G87</f>
        <v>USD</v>
      </c>
      <c t="str" r="H88">
        <f>'Unit Prices'!H87</f>
        <v>AWS-USE-STND-CMP-2XL-WINSQL-HR-USD</v>
      </c>
      <c r="I88">
        <f>'Unit Prices'!I87</f>
        <v>4.48</v>
      </c>
      <c t="str" r="J88">
        <f>'Unit Prices'!A74</f>
        <v>WINDOWS INSTANCES WITH SQL SERVER</v>
      </c>
    </row>
    <row r="89">
      <c t="str" r="A89">
        <f>'Unit Prices'!A88</f>
        <v>AWS</v>
      </c>
      <c t="str" r="B89">
        <f>'Unit Prices'!B88</f>
        <v>US-EAST</v>
      </c>
      <c t="str" r="C89">
        <f>'Unit Prices'!C88</f>
        <v>STANDARD</v>
      </c>
      <c t="str" r="D89">
        <f>'Unit Prices'!D88</f>
        <v>Compute</v>
      </c>
      <c t="str" r="E89">
        <f>'Unit Prices'!E88</f>
        <v>Large Instance Type, Gen 2</v>
      </c>
      <c t="str" r="F89">
        <f>'Unit Prices'!F88</f>
        <v>Hourly</v>
      </c>
      <c t="str" r="G89">
        <f>'Unit Prices'!G88</f>
        <v>USD</v>
      </c>
      <c t="str" r="H89">
        <f>'Unit Prices'!H88</f>
        <v>AWS-USE-STND-CMP-L-WINSQLG2-HR-USD</v>
      </c>
      <c r="I89">
        <f>'Unit Prices'!I88</f>
        <v>0.98175</v>
      </c>
      <c t="str" r="J89">
        <f>'Unit Prices'!A74</f>
        <v>WINDOWS INSTANCES WITH SQL SERVER</v>
      </c>
    </row>
    <row r="90">
      <c t="str" r="A90">
        <f>'Unit Prices'!A89</f>
        <v>AWS</v>
      </c>
      <c t="str" r="B90">
        <f>'Unit Prices'!B89</f>
        <v>US-EAST</v>
      </c>
      <c t="str" r="C90">
        <f>'Unit Prices'!C89</f>
        <v>STANDARD</v>
      </c>
      <c t="str" r="D90">
        <f>'Unit Prices'!D89</f>
        <v>Compute</v>
      </c>
      <c t="str" r="E90">
        <f>'Unit Prices'!E89</f>
        <v>4x Large Instance Type</v>
      </c>
      <c t="str" r="F90">
        <f>'Unit Prices'!F89</f>
        <v>Hourly</v>
      </c>
      <c t="str" r="G90">
        <f>'Unit Prices'!G89</f>
        <v>USD</v>
      </c>
      <c t="str" r="H90">
        <f>'Unit Prices'!H89</f>
        <v>AWS-USE-STND-CMP-4XL-WINSQL-HR-USD</v>
      </c>
      <c r="I90">
        <f>'Unit Prices'!I89</f>
        <v>7.4585</v>
      </c>
      <c t="str" r="J90">
        <f>'Unit Prices'!A74</f>
        <v>WINDOWS INSTANCES WITH SQL SERVER</v>
      </c>
    </row>
    <row r="91">
      <c t="str" r="A91">
        <f>'Unit Prices'!A90</f>
        <v>AWS</v>
      </c>
      <c t="str" r="B91">
        <f>'Unit Prices'!B90</f>
        <v>US-EAST</v>
      </c>
      <c t="str" r="C91">
        <f>'Unit Prices'!C90</f>
        <v>STANDARD</v>
      </c>
      <c t="str" r="D91">
        <f>'Unit Prices'!D90</f>
        <v>Compute</v>
      </c>
      <c t="str" r="E91">
        <f>'Unit Prices'!E90</f>
        <v>High CPU 8x Large Instance Type</v>
      </c>
      <c t="str" r="F91">
        <f>'Unit Prices'!F90</f>
        <v>Hourly</v>
      </c>
      <c t="str" r="G91">
        <f>'Unit Prices'!G90</f>
        <v>USD</v>
      </c>
      <c t="str" r="H91">
        <f>'Unit Prices'!H90</f>
        <v>AWS-USE-STND-CMP-HC8XL2-WINSQL-HR-USD</v>
      </c>
      <c r="I91">
        <f>'Unit Prices'!I90</f>
        <v>14.91525</v>
      </c>
      <c t="str" r="J91">
        <f>'Unit Prices'!A74</f>
        <v>WINDOWS INSTANCES WITH SQL SERVER</v>
      </c>
    </row>
    <row r="92">
      <c t="str" r="A92">
        <f>'Unit Prices'!A91</f>
        <v>AWS</v>
      </c>
      <c t="str" r="B92">
        <f>'Unit Prices'!B91</f>
        <v>US-EAST</v>
      </c>
      <c t="str" r="C92">
        <f>'Unit Prices'!C91</f>
        <v>STANDARD</v>
      </c>
      <c t="str" r="D92">
        <f>'Unit Prices'!D91</f>
        <v>Compute</v>
      </c>
      <c t="str" r="E92">
        <f>'Unit Prices'!E91</f>
        <v>High Storage 8x Large Instance Type</v>
      </c>
      <c t="str" r="F92">
        <f>'Unit Prices'!F91</f>
        <v>Hourly</v>
      </c>
      <c t="str" r="G92">
        <f>'Unit Prices'!G91</f>
        <v>USD</v>
      </c>
      <c t="str" r="H92">
        <f>'Unit Prices'!H91</f>
        <v>AWS-USE-STND-CMP-HS8XL2-WINSQL-HR-USD</v>
      </c>
      <c r="I92">
        <f>'Unit Prices'!I91</f>
        <v>14.6125</v>
      </c>
      <c t="str" r="J92">
        <f>'Unit Prices'!A74</f>
        <v>WINDOWS INSTANCES WITH SQL SERVER</v>
      </c>
    </row>
    <row r="93">
      <c t="str" r="A93">
        <f>'Unit Prices'!A92</f>
        <v/>
      </c>
      <c t="str" r="B93">
        <f>'Unit Prices'!B92</f>
        <v/>
      </c>
      <c t="str" r="C93">
        <f>'Unit Prices'!C92</f>
        <v/>
      </c>
      <c t="str" r="D93">
        <f>'Unit Prices'!D92</f>
        <v/>
      </c>
      <c t="str" r="E93">
        <f>'Unit Prices'!E92</f>
        <v/>
      </c>
      <c t="str" r="F93">
        <f>'Unit Prices'!F92</f>
        <v/>
      </c>
      <c t="str" r="G93">
        <f>'Unit Prices'!G92</f>
        <v/>
      </c>
      <c t="str" r="H93">
        <f>'Unit Prices'!H92</f>
        <v/>
      </c>
      <c t="str" r="I93">
        <f>'Unit Prices'!I92</f>
        <v/>
      </c>
      <c t="str" r="J93">
        <f>'Unit Prices'!A74</f>
        <v>WINDOWS INSTANCES WITH SQL SERVER</v>
      </c>
    </row>
    <row r="94">
      <c t="str" r="A94">
        <f>'Unit Prices'!A93</f>
        <v/>
      </c>
      <c t="str" r="B94">
        <f>'Unit Prices'!B93</f>
        <v/>
      </c>
      <c t="str" r="C94">
        <f>'Unit Prices'!C93</f>
        <v/>
      </c>
      <c t="str" r="D94">
        <f>'Unit Prices'!D93</f>
        <v/>
      </c>
      <c t="str" r="E94">
        <f>'Unit Prices'!E93</f>
        <v/>
      </c>
      <c t="str" r="F94">
        <f>'Unit Prices'!F93</f>
        <v/>
      </c>
      <c t="str" r="G94">
        <f>'Unit Prices'!G93</f>
        <v/>
      </c>
      <c t="str" r="H94">
        <f>'Unit Prices'!H93</f>
        <v/>
      </c>
      <c t="str" r="I94">
        <f>'Unit Prices'!I93</f>
        <v/>
      </c>
      <c t="str" r="J94">
        <f>'Unit Prices'!A74</f>
        <v>WINDOWS INSTANCES WITH SQL SERVER</v>
      </c>
    </row>
    <row r="95">
      <c t="str" r="A95">
        <f>'Unit Prices'!A94</f>
        <v/>
      </c>
      <c t="str" r="B95">
        <f>'Unit Prices'!B94</f>
        <v/>
      </c>
      <c t="str" r="C95">
        <f>'Unit Prices'!C94</f>
        <v/>
      </c>
      <c t="str" r="D95">
        <f>'Unit Prices'!D94</f>
        <v/>
      </c>
      <c t="str" r="E95">
        <f>'Unit Prices'!E94</f>
        <v/>
      </c>
      <c t="str" r="F95">
        <f>'Unit Prices'!F94</f>
        <v/>
      </c>
      <c t="str" r="G95">
        <f>'Unit Prices'!G94</f>
        <v/>
      </c>
      <c t="str" r="H95">
        <f>'Unit Prices'!H94</f>
        <v/>
      </c>
      <c t="str" r="I95">
        <f>'Unit Prices'!I94</f>
        <v/>
      </c>
      <c t="str" r="J95">
        <f>'Unit Prices'!A74</f>
        <v>WINDOWS INSTANCES WITH SQL SERVER</v>
      </c>
    </row>
    <row r="96">
      <c t="str" r="A96">
        <f>'Unit Prices'!A95</f>
        <v/>
      </c>
      <c t="str" r="B96">
        <f>'Unit Prices'!B95</f>
        <v/>
      </c>
      <c t="str" r="C96">
        <f>'Unit Prices'!C95</f>
        <v/>
      </c>
      <c t="str" r="D96">
        <f>'Unit Prices'!D95</f>
        <v/>
      </c>
      <c t="str" r="E96">
        <f>'Unit Prices'!E95</f>
        <v/>
      </c>
      <c t="str" r="F96">
        <f>'Unit Prices'!F95</f>
        <v/>
      </c>
      <c t="str" r="G96">
        <f>'Unit Prices'!G95</f>
        <v/>
      </c>
      <c t="str" r="H96">
        <f>'Unit Prices'!H95</f>
        <v/>
      </c>
      <c t="str" r="I96">
        <f>'Unit Prices'!I95</f>
        <v/>
      </c>
      <c t="str" r="J96">
        <f>'Unit Prices'!A74</f>
        <v>WINDOWS INSTANCES WITH SQL SERVER</v>
      </c>
    </row>
    <row r="97">
      <c t="str" r="A97">
        <f>'Unit Prices'!A96</f>
        <v/>
      </c>
      <c t="str" r="B97">
        <f>'Unit Prices'!B96</f>
        <v/>
      </c>
      <c t="str" r="C97">
        <f>'Unit Prices'!C96</f>
        <v/>
      </c>
      <c t="str" r="D97">
        <f>'Unit Prices'!D96</f>
        <v/>
      </c>
      <c t="str" r="E97">
        <f>'Unit Prices'!E96</f>
        <v/>
      </c>
      <c t="str" r="F97">
        <f>'Unit Prices'!F96</f>
        <v/>
      </c>
      <c t="str" r="G97">
        <f>'Unit Prices'!G96</f>
        <v/>
      </c>
      <c t="str" r="H97">
        <f>'Unit Prices'!H96</f>
        <v/>
      </c>
      <c t="str" r="I97">
        <f>'Unit Prices'!I96</f>
        <v/>
      </c>
      <c t="str" r="J97">
        <f>'Unit Prices'!A74</f>
        <v>WINDOWS INSTANCES WITH SQL SERVER</v>
      </c>
    </row>
    <row r="98">
      <c t="str" r="A98">
        <f>'Unit Prices'!A97</f>
        <v/>
      </c>
      <c t="str" r="B98">
        <f>'Unit Prices'!B97</f>
        <v/>
      </c>
      <c t="str" r="C98">
        <f>'Unit Prices'!C97</f>
        <v/>
      </c>
      <c t="str" r="D98">
        <f>'Unit Prices'!D97</f>
        <v/>
      </c>
      <c t="str" r="E98">
        <f>'Unit Prices'!E97</f>
        <v/>
      </c>
      <c t="str" r="F98">
        <f>'Unit Prices'!F97</f>
        <v/>
      </c>
      <c t="str" r="G98">
        <f>'Unit Prices'!G97</f>
        <v/>
      </c>
      <c t="str" r="H98">
        <f>'Unit Prices'!H97</f>
        <v/>
      </c>
      <c t="str" r="I98">
        <f>'Unit Prices'!I97</f>
        <v/>
      </c>
      <c t="str" r="J98">
        <f>'Unit Prices'!A74</f>
        <v>WINDOWS INSTANCES WITH SQL SERVER</v>
      </c>
    </row>
    <row r="99">
      <c t="str" r="A99">
        <f>'Unit Prices'!A98</f>
        <v/>
      </c>
      <c t="str" r="B99">
        <f>'Unit Prices'!B98</f>
        <v/>
      </c>
      <c t="str" r="C99">
        <f>'Unit Prices'!C98</f>
        <v/>
      </c>
      <c t="str" r="D99">
        <f>'Unit Prices'!D98</f>
        <v/>
      </c>
      <c t="str" r="E99">
        <f>'Unit Prices'!E98</f>
        <v/>
      </c>
      <c t="str" r="F99">
        <f>'Unit Prices'!F98</f>
        <v/>
      </c>
      <c t="str" r="G99">
        <f>'Unit Prices'!G98</f>
        <v/>
      </c>
      <c t="str" r="H99">
        <f>'Unit Prices'!H98</f>
        <v/>
      </c>
      <c t="str" r="I99">
        <f>'Unit Prices'!I98</f>
        <v/>
      </c>
    </row>
    <row r="100">
      <c t="str" r="A100">
        <f>'Unit Prices'!A99</f>
        <v>STORAGE</v>
      </c>
      <c t="str" r="B100">
        <f>'Unit Prices'!B99</f>
        <v/>
      </c>
      <c t="str" r="C100">
        <f>'Unit Prices'!C99</f>
        <v/>
      </c>
      <c t="str" r="D100">
        <f>'Unit Prices'!D99</f>
        <v/>
      </c>
      <c t="str" r="E100">
        <f>'Unit Prices'!E99</f>
        <v/>
      </c>
      <c t="str" r="F100">
        <f>'Unit Prices'!F99</f>
        <v/>
      </c>
      <c t="str" r="G100">
        <f>'Unit Prices'!G99</f>
        <v/>
      </c>
      <c t="str" r="H100">
        <f>'Unit Prices'!H99</f>
        <v/>
      </c>
      <c t="str" r="I100">
        <f>'Unit Prices'!I99</f>
        <v/>
      </c>
    </row>
    <row r="101">
      <c t="str" r="A101">
        <f>'Unit Prices'!A100</f>
        <v>CSP</v>
      </c>
      <c t="str" r="B101">
        <f>'Unit Prices'!B100</f>
        <v>REGION</v>
      </c>
      <c t="str" r="C101">
        <f>'Unit Prices'!C100</f>
        <v>PRODUCT TYPE</v>
      </c>
      <c t="str" r="D101">
        <f>'Unit Prices'!D100</f>
        <v>CATEGORY</v>
      </c>
      <c t="str" r="E101">
        <f>'Unit Prices'!E100</f>
        <v>PRODUCT</v>
      </c>
      <c t="str" r="F101">
        <f>'Unit Prices'!F100</f>
        <v>BILLING UNIT</v>
      </c>
      <c t="str" r="G101">
        <f>'Unit Prices'!G100</f>
        <v>CURRENCY</v>
      </c>
      <c t="str" r="H101">
        <f>'Unit Prices'!H100</f>
        <v>SKU</v>
      </c>
      <c t="str" r="I101">
        <f>'Unit Prices'!I100</f>
        <v>PRICE</v>
      </c>
    </row>
    <row r="102">
      <c t="str" r="A102">
        <f>'Unit Prices'!A101</f>
        <v>ANY</v>
      </c>
      <c t="str" r="B102">
        <f>Upper('Unit Prices'!B101)</f>
        <v>US-EAST</v>
      </c>
      <c t="str" r="C102">
        <f>'Unit Prices'!C101</f>
        <v>PREMIUM</v>
      </c>
      <c t="str" r="D102">
        <f>'Unit Prices'!D101</f>
        <v>Storage</v>
      </c>
      <c t="str" r="E102">
        <f>'Unit Prices'!E101</f>
        <v>Block storage capacity</v>
      </c>
      <c t="str" r="F102">
        <f>'Unit Prices'!F101</f>
        <v>Per GB/Per Month</v>
      </c>
      <c t="str" r="G102">
        <f>'Unit Prices'!G101</f>
        <v>USD</v>
      </c>
      <c t="str" r="H102">
        <f>'Unit Prices'!H101</f>
        <v>ANY-USE-PRM-STRG-CAP-PGBMO-USD</v>
      </c>
      <c r="I102">
        <f>'Unit Prices'!I101</f>
        <v>0.5</v>
      </c>
    </row>
    <row r="103">
      <c t="str" r="A103">
        <f>'Unit Prices'!A102</f>
        <v>ANY</v>
      </c>
      <c t="str" r="B103">
        <f>Upper('Unit Prices'!B102)</f>
        <v>US-EAST</v>
      </c>
      <c t="str" r="C103">
        <f>'Unit Prices'!C102</f>
        <v>PREMIUM</v>
      </c>
      <c t="str" r="D103">
        <f>'Unit Prices'!D102</f>
        <v>Storage</v>
      </c>
      <c t="str" r="E103">
        <f>'Unit Prices'!E102</f>
        <v>IOPS</v>
      </c>
      <c t="str" r="F103">
        <f>'Unit Prices'!F102</f>
        <v>Per IOPS-Month</v>
      </c>
      <c t="str" r="G103">
        <f>'Unit Prices'!G102</f>
        <v>USD</v>
      </c>
      <c t="str" r="H103">
        <f>'Unit Prices'!H102</f>
        <v>ANY-USE-PRM-STRG-IOPS-IOM-USD</v>
      </c>
      <c r="I103">
        <f>'Unit Prices'!I102</f>
        <v>0.4</v>
      </c>
    </row>
    <row r="104">
      <c t="str" r="A104">
        <f>'Unit Prices'!A103</f>
        <v>ANY</v>
      </c>
      <c t="str" r="B104">
        <f>Upper('Unit Prices'!B103)</f>
        <v>US-EAST</v>
      </c>
      <c t="str" r="C104">
        <f>'Unit Prices'!C103</f>
        <v>PREMIUM</v>
      </c>
      <c t="str" r="D104">
        <f>'Unit Prices'!D103</f>
        <v>Storage</v>
      </c>
      <c t="str" r="E104">
        <f>'Unit Prices'!E103</f>
        <v>Snapshots</v>
      </c>
      <c t="str" r="F104">
        <f>'Unit Prices'!F103</f>
        <v>Per GB/Per Month</v>
      </c>
      <c t="str" r="G104">
        <f>'Unit Prices'!G103</f>
        <v>USD</v>
      </c>
      <c t="str" r="H104">
        <f>'Unit Prices'!H103</f>
        <v>ANY-USE-PRM-STRG-SNP-PGBMO-USD</v>
      </c>
      <c r="I104">
        <f>'Unit Prices'!I103</f>
        <v>0.5</v>
      </c>
    </row>
    <row r="105">
      <c t="str" r="A105">
        <f>'Unit Prices'!A104</f>
        <v>ANY</v>
      </c>
      <c t="str" r="B105">
        <f>Upper('Unit Prices'!B104)</f>
        <v>US-EAST</v>
      </c>
      <c t="str" r="C105">
        <f>'Unit Prices'!C104</f>
        <v>PREMIUM</v>
      </c>
      <c t="str" r="D105">
        <f>'Unit Prices'!D104</f>
        <v>Storage</v>
      </c>
      <c t="str" r="E105">
        <f>'Unit Prices'!E104</f>
        <v>TIER 0 Response Time Tier</v>
      </c>
      <c t="str" r="F105">
        <f>'Unit Prices'!F104</f>
        <v>Percentage OF</v>
      </c>
      <c t="str" r="G105">
        <f>'Unit Prices'!G104</f>
        <v>USD</v>
      </c>
      <c t="str" r="H105">
        <f>'Unit Prices'!H104</f>
        <v>ANY-USE-PRM-STRG-T0RT-PCT-USD</v>
      </c>
      <c r="I105">
        <f>'Unit Prices'!I104</f>
        <v>1.5</v>
      </c>
    </row>
    <row r="106">
      <c t="str" r="A106">
        <f>'Unit Prices'!A105</f>
        <v>ANY</v>
      </c>
      <c t="str" r="B106">
        <f>Upper('Unit Prices'!B105)</f>
        <v>US-EAST</v>
      </c>
      <c t="str" r="C106">
        <f>'Unit Prices'!C105</f>
        <v>PREMIUM</v>
      </c>
      <c t="str" r="D106">
        <f>'Unit Prices'!D105</f>
        <v>Storage</v>
      </c>
      <c t="str" r="E106">
        <f>'Unit Prices'!E105</f>
        <v>TIER 1 Response Time Tier</v>
      </c>
      <c t="str" r="F106">
        <f>'Unit Prices'!F105</f>
        <v>Percentage OF</v>
      </c>
      <c t="str" r="G106">
        <f>'Unit Prices'!G105</f>
        <v>USD</v>
      </c>
      <c t="str" r="H106">
        <f>'Unit Prices'!H105</f>
        <v>ANY-USE-PRM-STRG-T1RT-PCT-USD</v>
      </c>
      <c r="I106">
        <f>'Unit Prices'!I105</f>
        <v>1</v>
      </c>
    </row>
    <row r="107">
      <c t="str" r="A107">
        <f>'Unit Prices'!A106</f>
        <v>ANY</v>
      </c>
      <c t="str" r="B107">
        <f>Upper('Unit Prices'!B106)</f>
        <v>US-EAST</v>
      </c>
      <c t="str" r="C107">
        <f>'Unit Prices'!C106</f>
        <v>PREMIUM</v>
      </c>
      <c t="str" r="D107">
        <f>'Unit Prices'!D106</f>
        <v>Storage</v>
      </c>
      <c t="str" r="E107">
        <f>'Unit Prices'!E106</f>
        <v>TIER 2 Response Time Tier</v>
      </c>
      <c t="str" r="F107">
        <f>'Unit Prices'!F106</f>
        <v>Percentage OF</v>
      </c>
      <c t="str" r="G107">
        <f>'Unit Prices'!G106</f>
        <v>USD</v>
      </c>
      <c t="str" r="H107">
        <f>'Unit Prices'!H106</f>
        <v>ANY-USE-PRM-STRG-T2RT-PCT-USD</v>
      </c>
      <c r="I107">
        <f>'Unit Prices'!I106</f>
        <v>0.5</v>
      </c>
    </row>
    <row r="108">
      <c t="str" r="A108">
        <f>'Unit Prices'!A107</f>
        <v>AWS</v>
      </c>
      <c t="str" r="B108">
        <f>Upper('Unit Prices'!B107)</f>
        <v>US-EAST</v>
      </c>
      <c t="str" r="C108">
        <f>'Unit Prices'!C107</f>
        <v>PREMIUM</v>
      </c>
      <c t="str" r="D108">
        <f>'Unit Prices'!D107</f>
        <v>Storage</v>
      </c>
      <c t="str" r="E108">
        <f>'Unit Prices'!E107</f>
        <v>Block storage capacity</v>
      </c>
      <c t="str" r="F108">
        <f>'Unit Prices'!F107</f>
        <v>Per GB/Per Month</v>
      </c>
      <c t="str" r="G108">
        <f>'Unit Prices'!G107</f>
        <v>USD</v>
      </c>
      <c t="str" r="H108">
        <f>'Unit Prices'!H107</f>
        <v>AWS-USE-PRM-STRG-CAP-PGBMO-USD</v>
      </c>
      <c r="I108">
        <f>'Unit Prices'!I107</f>
        <v>0.5</v>
      </c>
    </row>
    <row r="109">
      <c t="str" r="A109">
        <f>'Unit Prices'!A108</f>
        <v>AWS</v>
      </c>
      <c t="str" r="B109">
        <f>Upper('Unit Prices'!B108)</f>
        <v>US-EAST</v>
      </c>
      <c t="str" r="C109">
        <f>'Unit Prices'!C108</f>
        <v>PREMIUM</v>
      </c>
      <c t="str" r="D109">
        <f>'Unit Prices'!D108</f>
        <v>Storage</v>
      </c>
      <c t="str" r="E109">
        <f>'Unit Prices'!E108</f>
        <v>IOPS</v>
      </c>
      <c t="str" r="F109">
        <f>'Unit Prices'!F108</f>
        <v>Per IOPS-Month</v>
      </c>
      <c t="str" r="G109">
        <f>'Unit Prices'!G108</f>
        <v>USD</v>
      </c>
      <c t="str" r="H109">
        <f>'Unit Prices'!H108</f>
        <v>AWS-USE-PRM-STRG-IOPS-IOM-USD</v>
      </c>
      <c r="I109">
        <f>'Unit Prices'!I108</f>
        <v>0.4</v>
      </c>
    </row>
    <row r="110">
      <c t="str" r="A110">
        <f>'Unit Prices'!A109</f>
        <v>AWS</v>
      </c>
      <c t="str" r="B110">
        <f>Upper('Unit Prices'!B109)</f>
        <v>US-EAST</v>
      </c>
      <c t="str" r="C110">
        <f>'Unit Prices'!C109</f>
        <v>PREMIUM</v>
      </c>
      <c t="str" r="D110">
        <f>'Unit Prices'!D109</f>
        <v>Storage</v>
      </c>
      <c t="str" r="E110">
        <f>'Unit Prices'!E109</f>
        <v>Snapshots</v>
      </c>
      <c t="str" r="F110">
        <f>'Unit Prices'!F109</f>
        <v>Per GB/Per Month</v>
      </c>
      <c t="str" r="G110">
        <f>'Unit Prices'!G109</f>
        <v>USD</v>
      </c>
      <c t="str" r="H110">
        <f>'Unit Prices'!H109</f>
        <v>AWS-USE-PRM-STRG-SNP-PGBMO-USD</v>
      </c>
      <c r="I110">
        <f>'Unit Prices'!I109</f>
        <v>0.5</v>
      </c>
    </row>
    <row r="111">
      <c t="str" r="A111">
        <f>'Unit Prices'!A110</f>
        <v>AWS</v>
      </c>
      <c t="str" r="B111">
        <f>Upper('Unit Prices'!B110)</f>
        <v>US-EAST</v>
      </c>
      <c t="str" r="C111">
        <f>'Unit Prices'!C110</f>
        <v>PREMIUM</v>
      </c>
      <c t="str" r="D111">
        <f>'Unit Prices'!D110</f>
        <v>Storage</v>
      </c>
      <c t="str" r="E111">
        <f>'Unit Prices'!E110</f>
        <v>TIER 0 Response Time Tier</v>
      </c>
      <c t="str" r="F111">
        <f>'Unit Prices'!F110</f>
        <v>Percentage OF</v>
      </c>
      <c t="str" r="G111">
        <f>'Unit Prices'!G110</f>
        <v>USD</v>
      </c>
      <c t="str" r="H111">
        <f>'Unit Prices'!H110</f>
        <v>AWS-USE-PRM-STRG-T0RT-PCT-USD</v>
      </c>
      <c r="I111">
        <f>'Unit Prices'!I110</f>
        <v>1.5</v>
      </c>
    </row>
    <row r="112">
      <c t="str" r="A112">
        <f>'Unit Prices'!A111</f>
        <v>AWS</v>
      </c>
      <c t="str" r="B112">
        <f>Upper('Unit Prices'!B111)</f>
        <v>US-EAST</v>
      </c>
      <c t="str" r="C112">
        <f>'Unit Prices'!C111</f>
        <v>PREMIUM</v>
      </c>
      <c t="str" r="D112">
        <f>'Unit Prices'!D111</f>
        <v>Storage</v>
      </c>
      <c t="str" r="E112">
        <f>'Unit Prices'!E111</f>
        <v>TIER 1 Response Time Tier</v>
      </c>
      <c t="str" r="F112">
        <f>'Unit Prices'!F111</f>
        <v>Percentage OF</v>
      </c>
      <c t="str" r="G112">
        <f>'Unit Prices'!G111</f>
        <v>USD</v>
      </c>
      <c t="str" r="H112">
        <f>'Unit Prices'!H111</f>
        <v>AWS-USE-PRM-STRG-T1RT-PCT-USD</v>
      </c>
      <c r="I112">
        <f>'Unit Prices'!I111</f>
        <v>1</v>
      </c>
    </row>
    <row r="113">
      <c t="str" r="A113">
        <f>'Unit Prices'!A112</f>
        <v>AWS</v>
      </c>
      <c t="str" r="B113">
        <f>Upper('Unit Prices'!B112)</f>
        <v>US-EAST</v>
      </c>
      <c t="str" r="C113">
        <f>'Unit Prices'!C112</f>
        <v>PREMIUM</v>
      </c>
      <c t="str" r="D113">
        <f>'Unit Prices'!D112</f>
        <v>Storage</v>
      </c>
      <c t="str" r="E113">
        <f>'Unit Prices'!E112</f>
        <v>TIER 2 Response Time Tier</v>
      </c>
      <c t="str" r="F113">
        <f>'Unit Prices'!F112</f>
        <v>Percentage OF</v>
      </c>
      <c t="str" r="G113">
        <f>'Unit Prices'!G112</f>
        <v>USD</v>
      </c>
      <c t="str" r="H113">
        <f>'Unit Prices'!H112</f>
        <v>AWS-USE-PRM-STRG-T2RT-PCT-USD</v>
      </c>
      <c r="I113">
        <f>'Unit Prices'!I112</f>
        <v>0.5</v>
      </c>
    </row>
    <row r="114">
      <c t="str" r="A114">
        <f>'Unit Prices'!A113</f>
        <v/>
      </c>
      <c t="str" r="B114">
        <f>'Unit Prices'!B113</f>
        <v/>
      </c>
      <c t="str" r="C114">
        <f>'Unit Prices'!C113</f>
        <v/>
      </c>
      <c t="str" r="D114">
        <f>'Unit Prices'!D113</f>
        <v/>
      </c>
      <c t="str" r="E114">
        <f>'Unit Prices'!E113</f>
        <v/>
      </c>
      <c t="str" r="F114">
        <f>'Unit Prices'!F113</f>
        <v/>
      </c>
      <c t="str" r="G114">
        <f>'Unit Prices'!G113</f>
        <v/>
      </c>
      <c t="str" r="H114">
        <f>'Unit Prices'!H113</f>
        <v/>
      </c>
      <c t="str" r="I114">
        <f>'Unit Prices'!I113</f>
        <v/>
      </c>
    </row>
    <row r="115">
      <c t="str" r="A115">
        <f>'Unit Prices'!A114</f>
        <v/>
      </c>
      <c t="str" r="B115">
        <f>'Unit Prices'!B114</f>
        <v/>
      </c>
      <c t="str" r="C115">
        <f>'Unit Prices'!C114</f>
        <v/>
      </c>
      <c t="str" r="D115">
        <f>'Unit Prices'!D114</f>
        <v/>
      </c>
      <c t="str" r="E115">
        <f>'Unit Prices'!E114</f>
        <v/>
      </c>
      <c t="str" r="F115">
        <f>'Unit Prices'!F114</f>
        <v/>
      </c>
      <c t="str" r="G115">
        <f>'Unit Prices'!G114</f>
        <v/>
      </c>
      <c t="str" r="H115">
        <f>'Unit Prices'!H114</f>
        <v/>
      </c>
      <c t="str" r="I115">
        <f>'Unit Prices'!I114</f>
        <v/>
      </c>
    </row>
    <row r="116">
      <c t="str" r="A116">
        <f>'Unit Prices'!A115</f>
        <v>SECURITY</v>
      </c>
      <c t="str" r="B116">
        <f>'Unit Prices'!B115</f>
        <v/>
      </c>
      <c t="str" r="C116">
        <f>'Unit Prices'!C115</f>
        <v/>
      </c>
      <c t="str" r="D116">
        <f>'Unit Prices'!D115</f>
        <v/>
      </c>
      <c t="str" r="E116">
        <f>'Unit Prices'!E115</f>
        <v/>
      </c>
      <c t="str" r="F116">
        <f>'Unit Prices'!F115</f>
        <v/>
      </c>
      <c t="str" r="G116">
        <f>'Unit Prices'!G115</f>
        <v/>
      </c>
      <c t="str" r="H116">
        <f>'Unit Prices'!H115</f>
        <v/>
      </c>
      <c t="str" r="I116">
        <f>'Unit Prices'!I115</f>
        <v/>
      </c>
    </row>
    <row r="117">
      <c t="str" r="A117">
        <f>'Unit Prices'!A116</f>
        <v>CSP</v>
      </c>
      <c t="str" r="B117">
        <f>'Unit Prices'!B116</f>
        <v>REGION</v>
      </c>
      <c t="str" r="C117">
        <f>'Unit Prices'!C116</f>
        <v>PRODUCT TYPE</v>
      </c>
      <c t="str" r="D117">
        <f>'Unit Prices'!D116</f>
        <v>CATEGORY</v>
      </c>
      <c t="str" r="E117">
        <f>'Unit Prices'!E116</f>
        <v>PRODUCT</v>
      </c>
      <c t="str" r="F117">
        <f>'Unit Prices'!F116</f>
        <v>BILLING UNIT</v>
      </c>
      <c t="str" r="G117">
        <f>'Unit Prices'!G116</f>
        <v>CURRENCY</v>
      </c>
      <c t="str" r="H117">
        <f>'Unit Prices'!H116</f>
        <v>SKU</v>
      </c>
      <c t="str" r="I117">
        <f>'Unit Prices'!I116</f>
        <v>PRICE</v>
      </c>
    </row>
    <row r="118">
      <c t="str" r="A118">
        <f>'Unit Prices'!A117</f>
        <v>ANY</v>
      </c>
      <c t="str" r="B118">
        <f>'Unit Prices'!B117</f>
        <v>US-EAST</v>
      </c>
      <c t="str" r="C118">
        <f>'Unit Prices'!C117</f>
        <v>PREMIUM</v>
      </c>
      <c t="str" r="D118">
        <f>'Unit Prices'!D117</f>
        <v>SECURITY</v>
      </c>
      <c t="str" r="E118">
        <f>'Unit Prices'!E117</f>
        <v>Data-at-rest Encryption</v>
      </c>
      <c t="str" r="F118">
        <f>'Unit Prices'!F117</f>
        <v>Percentage OF</v>
      </c>
      <c t="str" r="G118">
        <f>'Unit Prices'!G117</f>
        <v>USD</v>
      </c>
      <c t="str" r="H118">
        <f>'Unit Prices'!H117</f>
        <v>ANY-USE-PRM-SEC-DCRPYT-PCT-USD</v>
      </c>
      <c r="I118">
        <f>'Unit Prices'!I117</f>
        <v>0.25</v>
      </c>
    </row>
    <row r="119">
      <c t="str" r="A119">
        <f>'Unit Prices'!A118</f>
        <v>ANY</v>
      </c>
      <c t="str" r="B119">
        <f>'Unit Prices'!B118</f>
        <v>US-EAST</v>
      </c>
      <c t="str" r="C119">
        <f>'Unit Prices'!C118</f>
        <v>PREMIUM</v>
      </c>
      <c t="str" r="D119">
        <f>'Unit Prices'!D118</f>
        <v>SECURITY</v>
      </c>
      <c t="str" r="E119">
        <f>'Unit Prices'!E118</f>
        <v>Instant Rekey</v>
      </c>
      <c t="str" r="F119">
        <f>'Unit Prices'!F118</f>
        <v>$/GB</v>
      </c>
      <c t="str" r="G119">
        <f>'Unit Prices'!G118</f>
        <v>USD</v>
      </c>
      <c t="str" r="H119">
        <f>'Unit Prices'!H118</f>
        <v>ANY-USE-PRM-SEC-INSRKY-PGB-USD</v>
      </c>
      <c r="I119">
        <f>'Unit Prices'!I118</f>
        <v>0.05</v>
      </c>
    </row>
    <row r="120">
      <c t="str" r="A120">
        <f>'Unit Prices'!A119</f>
        <v>AWS</v>
      </c>
      <c t="str" r="B120">
        <f>'Unit Prices'!B119</f>
        <v>US-EAST</v>
      </c>
      <c t="str" r="C120">
        <f>'Unit Prices'!C119</f>
        <v>PREMIUM</v>
      </c>
      <c t="str" r="D120">
        <f>'Unit Prices'!D119</f>
        <v>SECURITY</v>
      </c>
      <c t="str" r="E120">
        <f>'Unit Prices'!E119</f>
        <v>Data-at-rest Encryption</v>
      </c>
      <c t="str" r="F120">
        <f>'Unit Prices'!F119</f>
        <v>Percentage OF</v>
      </c>
      <c t="str" r="G120">
        <f>'Unit Prices'!G119</f>
        <v>USD</v>
      </c>
      <c t="str" r="H120">
        <f>'Unit Prices'!H119</f>
        <v>AWS-USE-PRM-SEC-DCRPYT-PCT-USD</v>
      </c>
      <c r="I120">
        <f>'Unit Prices'!I119</f>
        <v>0.25</v>
      </c>
    </row>
    <row r="121">
      <c t="str" r="A121">
        <f>'Unit Prices'!A120</f>
        <v>AWS</v>
      </c>
      <c t="str" r="B121">
        <f>'Unit Prices'!B120</f>
        <v>US-EAST</v>
      </c>
      <c t="str" r="C121">
        <f>'Unit Prices'!C120</f>
        <v>PREMIUM</v>
      </c>
      <c t="str" r="D121">
        <f>'Unit Prices'!D120</f>
        <v>SECURITY</v>
      </c>
      <c t="str" r="E121">
        <f>'Unit Prices'!E120</f>
        <v>Instant Rekey</v>
      </c>
      <c t="str" r="F121">
        <f>'Unit Prices'!F120</f>
        <v>$/GB</v>
      </c>
      <c t="str" r="G121">
        <f>'Unit Prices'!G120</f>
        <v>USD</v>
      </c>
      <c t="str" r="H121">
        <f>'Unit Prices'!H120</f>
        <v>AWS-USE-PRM-SEC-INSRKY-PGB-USD</v>
      </c>
      <c r="I121">
        <f>'Unit Prices'!I120</f>
        <v>0.05</v>
      </c>
    </row>
    <row r="122">
      <c t="str" r="A122">
        <f>'Unit Prices'!A121</f>
        <v/>
      </c>
      <c t="str" r="B122">
        <f>'Unit Prices'!B121</f>
        <v/>
      </c>
      <c t="str" r="C122">
        <f>'Unit Prices'!C121</f>
        <v/>
      </c>
      <c t="str" r="D122">
        <f>'Unit Prices'!D121</f>
        <v/>
      </c>
      <c t="str" r="E122">
        <f>'Unit Prices'!E121</f>
        <v/>
      </c>
      <c t="str" r="F122">
        <f>'Unit Prices'!F121</f>
        <v/>
      </c>
      <c t="str" r="G122">
        <f>'Unit Prices'!G121</f>
        <v/>
      </c>
      <c t="str" r="H122">
        <f>'Unit Prices'!H121</f>
        <v/>
      </c>
      <c t="str" r="I122">
        <f>'Unit Prices'!I121</f>
        <v/>
      </c>
    </row>
    <row r="123">
      <c t="str" r="A123">
        <f>'Unit Prices'!A122</f>
        <v/>
      </c>
      <c t="str" r="B123">
        <f>'Unit Prices'!B122</f>
        <v/>
      </c>
      <c t="str" r="C123">
        <f>'Unit Prices'!C122</f>
        <v/>
      </c>
      <c t="str" r="D123">
        <f>'Unit Prices'!D122</f>
        <v/>
      </c>
      <c t="str" r="E123">
        <f>'Unit Prices'!E122</f>
        <v/>
      </c>
      <c t="str" r="F123">
        <f>'Unit Prices'!F122</f>
        <v/>
      </c>
      <c t="str" r="G123">
        <f>'Unit Prices'!G122</f>
        <v/>
      </c>
      <c t="str" r="H123">
        <f>'Unit Prices'!H122</f>
        <v/>
      </c>
      <c t="str" r="I123">
        <f>'Unit Prices'!I122</f>
        <v/>
      </c>
    </row>
    <row r="124">
      <c t="str" r="A124">
        <f>'Unit Prices'!A123</f>
        <v>NETWORK</v>
      </c>
      <c t="str" r="B124">
        <f>'Unit Prices'!B123</f>
        <v/>
      </c>
      <c t="str" r="C124">
        <f>'Unit Prices'!C123</f>
        <v/>
      </c>
      <c t="str" r="D124">
        <f>'Unit Prices'!D123</f>
        <v/>
      </c>
      <c t="str" r="E124">
        <f>'Unit Prices'!E123</f>
        <v/>
      </c>
      <c t="str" r="F124">
        <f>'Unit Prices'!F123</f>
        <v/>
      </c>
      <c t="str" r="G124">
        <f>'Unit Prices'!G123</f>
        <v/>
      </c>
      <c t="str" r="H124">
        <f>'Unit Prices'!H123</f>
        <v/>
      </c>
      <c t="str" r="I124">
        <f>'Unit Prices'!I123</f>
        <v/>
      </c>
    </row>
    <row r="125">
      <c t="str" r="A125">
        <f>'Unit Prices'!A124</f>
        <v>REGION</v>
      </c>
      <c t="str" r="B125">
        <f>'Unit Prices'!B124</f>
        <v/>
      </c>
      <c t="str" r="C125">
        <f>'Unit Prices'!C124</f>
        <v/>
      </c>
      <c t="str" r="D125">
        <f>'Unit Prices'!D124</f>
        <v>CATEGORY</v>
      </c>
      <c t="str" r="E125">
        <f>'Unit Prices'!E124</f>
        <v>PRODUCT</v>
      </c>
      <c t="str" r="F125">
        <f>'Unit Prices'!F124</f>
        <v>BILLING UNIT</v>
      </c>
      <c t="str" r="G125">
        <f>'Unit Prices'!G124</f>
        <v>CURRENCY</v>
      </c>
      <c t="str" r="H125">
        <f>'Unit Prices'!H124</f>
        <v>SKU</v>
      </c>
      <c t="str" r="I125">
        <f>'Unit Prices'!I124</f>
        <v>PRICE</v>
      </c>
    </row>
    <row r="126">
      <c t="str" r="A126">
        <f>'Unit Prices'!A125</f>
        <v>ANY</v>
      </c>
      <c t="str" r="B126">
        <f>Upper('Unit Prices'!B125)</f>
        <v>US-EAST</v>
      </c>
      <c t="str" r="C126">
        <f>'Unit Prices'!C125</f>
        <v>STANDARD</v>
      </c>
      <c t="str" r="D126">
        <f>'Unit Prices'!D125</f>
        <v>NETWORK</v>
      </c>
      <c t="str" r="E126">
        <f>'Unit Prices'!E125</f>
        <v>Public IP Addresses; IPv4</v>
      </c>
      <c t="str" r="F126">
        <f>'Unit Prices'!F125</f>
        <v>$/Hr</v>
      </c>
      <c t="str" r="G126">
        <f>'Unit Prices'!G125</f>
        <v>USD</v>
      </c>
      <c t="str" r="H126">
        <f>'Unit Prices'!H125</f>
        <v>ANY-USE-STND-NET-PIP4-HR-USD</v>
      </c>
      <c r="I126">
        <f>'Unit Prices'!I125</f>
        <v>0.005</v>
      </c>
    </row>
    <row r="127">
      <c t="str" r="A127">
        <f>'Unit Prices'!A126</f>
        <v>ANY</v>
      </c>
      <c t="str" r="B127">
        <f>Upper('Unit Prices'!B126)</f>
        <v>US-EAST</v>
      </c>
      <c t="str" r="C127">
        <f>'Unit Prices'!C126</f>
        <v>PREMIUM</v>
      </c>
      <c t="str" r="D127">
        <f>'Unit Prices'!D126</f>
        <v>Storage</v>
      </c>
      <c t="str" r="E127">
        <f>'Unit Prices'!E126</f>
        <v>Data Transfer In</v>
      </c>
      <c t="str" r="F127">
        <f>'Unit Prices'!F126</f>
        <v>Per GB</v>
      </c>
      <c t="str" r="G127">
        <f>'Unit Prices'!G126</f>
        <v>USD</v>
      </c>
      <c t="str" r="H127">
        <f>'Unit Prices'!H126</f>
        <v>ANY-USE-PRM-STRG-DTI-PGB-USD</v>
      </c>
      <c r="I127">
        <f>'Unit Prices'!I126</f>
        <v>0</v>
      </c>
    </row>
    <row r="128">
      <c t="str" r="A128">
        <f>'Unit Prices'!A127</f>
        <v>ANY</v>
      </c>
      <c t="str" r="B128">
        <f>Upper('Unit Prices'!B127)</f>
        <v>US-EAST</v>
      </c>
      <c t="str" r="C128">
        <f>'Unit Prices'!C127</f>
        <v>PREMIUM</v>
      </c>
      <c t="str" r="D128">
        <f>'Unit Prices'!D127</f>
        <v>Storage</v>
      </c>
      <c t="str" r="E128">
        <f>'Unit Prices'!E127</f>
        <v>Data Transfer Out</v>
      </c>
      <c t="str" r="F128">
        <f>'Unit Prices'!F127</f>
        <v>Per GB</v>
      </c>
      <c t="str" r="G128">
        <f>'Unit Prices'!G127</f>
        <v>USD</v>
      </c>
      <c t="str" r="H128">
        <f>'Unit Prices'!H127</f>
        <v>ANY-USE-PRM-STRG-DTO-PGB-USD</v>
      </c>
      <c t="str" r="I128">
        <f>'Unit Prices'!I127</f>
        <v/>
      </c>
    </row>
    <row r="129">
      <c t="str" r="A129">
        <f>'Unit Prices'!A128</f>
        <v>AWS</v>
      </c>
      <c t="str" r="B129">
        <f>Upper('Unit Prices'!B128)</f>
        <v>US-EAST</v>
      </c>
      <c t="str" r="C129">
        <f>'Unit Prices'!C128</f>
        <v>STANDARD</v>
      </c>
      <c t="str" r="D129">
        <f>'Unit Prices'!D128</f>
        <v>NETWORK</v>
      </c>
      <c t="str" r="E129">
        <f>'Unit Prices'!E128</f>
        <v>Public IP Addresses; IPv4</v>
      </c>
      <c t="str" r="F129">
        <f>'Unit Prices'!F128</f>
        <v>$/Hr</v>
      </c>
      <c t="str" r="G129">
        <f>'Unit Prices'!G128</f>
        <v>USD</v>
      </c>
      <c t="str" r="H129">
        <f>'Unit Prices'!H128</f>
        <v>AWS-USE-STND-NET-PIP4-HR-USD</v>
      </c>
      <c r="I129">
        <f>'Unit Prices'!I128</f>
        <v>0.005</v>
      </c>
    </row>
    <row r="130">
      <c t="str" r="A130">
        <f>'Unit Prices'!A129</f>
        <v>AWS</v>
      </c>
      <c t="str" r="B130">
        <f>Upper('Unit Prices'!B129)</f>
        <v>US-EAST</v>
      </c>
      <c t="str" r="C130">
        <f>'Unit Prices'!C129</f>
        <v>PREMIUM</v>
      </c>
      <c t="str" r="D130">
        <f>'Unit Prices'!D129</f>
        <v>Storage</v>
      </c>
      <c t="str" r="E130">
        <f>'Unit Prices'!E129</f>
        <v>Data Transfer In</v>
      </c>
      <c t="str" r="F130">
        <f>'Unit Prices'!F129</f>
        <v>Per GB</v>
      </c>
      <c t="str" r="G130">
        <f>'Unit Prices'!G129</f>
        <v>USD</v>
      </c>
      <c t="str" r="H130">
        <f>'Unit Prices'!H129</f>
        <v>AWS-USE-PRM-STRG-DTI-PGB-USD</v>
      </c>
      <c r="I130">
        <f>'Unit Prices'!I129</f>
        <v>0</v>
      </c>
    </row>
    <row r="131">
      <c t="str" r="A131">
        <f>'Unit Prices'!A130</f>
        <v>AWS</v>
      </c>
      <c t="str" r="B131">
        <f>Upper('Unit Prices'!B130)</f>
        <v>US-EAST</v>
      </c>
      <c t="str" r="C131">
        <f>'Unit Prices'!C130</f>
        <v>PREMIUM</v>
      </c>
      <c t="str" r="D131">
        <f>'Unit Prices'!D130</f>
        <v>Storage</v>
      </c>
      <c t="str" r="E131">
        <f>'Unit Prices'!E130</f>
        <v>Data Transfer Out</v>
      </c>
      <c t="str" r="F131">
        <f>'Unit Prices'!F130</f>
        <v>Per GB</v>
      </c>
      <c t="str" r="G131">
        <f>'Unit Prices'!G130</f>
        <v>USD</v>
      </c>
      <c t="str" r="H131">
        <f>'Unit Prices'!H130</f>
        <v>AWS-USE-PRM-STRG-DTO-PGB-USD</v>
      </c>
      <c t="str" r="I131">
        <f>'Unit Prices'!I130</f>
        <v/>
      </c>
    </row>
    <row r="132">
      <c t="str" r="A132">
        <f>'Unit Prices'!A131</f>
        <v/>
      </c>
      <c t="str" r="B132">
        <f>'Unit Prices'!B131</f>
        <v/>
      </c>
      <c t="str" r="C132">
        <f>'Unit Prices'!C131</f>
        <v/>
      </c>
      <c t="str" r="D132">
        <f>'Unit Prices'!D131</f>
        <v/>
      </c>
      <c t="str" r="E132">
        <f>'Unit Prices'!E131</f>
        <v/>
      </c>
      <c t="str" r="F132">
        <f>'Unit Prices'!F131</f>
        <v/>
      </c>
      <c t="str" r="G132">
        <f>'Unit Prices'!G131</f>
        <v/>
      </c>
      <c t="str" r="H132">
        <f>'Unit Prices'!H131</f>
        <v/>
      </c>
      <c t="str" r="I132">
        <f>'Unit Prices'!I131</f>
        <v/>
      </c>
    </row>
    <row r="133">
      <c t="str" r="A133">
        <f>'Unit Prices'!A132</f>
        <v/>
      </c>
      <c t="str" r="B133">
        <f>'Unit Prices'!B132</f>
        <v/>
      </c>
      <c t="str" r="C133">
        <f>'Unit Prices'!C132</f>
        <v/>
      </c>
      <c t="str" r="D133">
        <f>'Unit Prices'!D132</f>
        <v/>
      </c>
      <c t="str" r="E133">
        <f>'Unit Prices'!E132</f>
        <v/>
      </c>
      <c t="str" r="F133">
        <f>'Unit Prices'!F132</f>
        <v/>
      </c>
      <c t="str" r="G133">
        <f>'Unit Prices'!G132</f>
        <v/>
      </c>
      <c t="str" r="H133">
        <f>'Unit Prices'!H132</f>
        <v/>
      </c>
      <c t="str" r="I133">
        <f>'Unit Prices'!I132</f>
        <v/>
      </c>
    </row>
    <row r="134">
      <c t="str" r="A134">
        <f>'Unit Prices'!A133</f>
        <v/>
      </c>
      <c t="str" r="B134">
        <f>'Unit Prices'!B133</f>
        <v/>
      </c>
      <c t="str" r="C134">
        <f>'Unit Prices'!C133</f>
        <v/>
      </c>
      <c t="str" r="D134">
        <f>'Unit Prices'!D133</f>
        <v/>
      </c>
      <c t="str" r="E134">
        <f>'Unit Prices'!E133</f>
        <v/>
      </c>
      <c t="str" r="F134">
        <f>'Unit Prices'!F133</f>
        <v/>
      </c>
      <c t="str" r="G134">
        <f>'Unit Prices'!G133</f>
        <v/>
      </c>
      <c t="str" r="H134">
        <f>'Unit Prices'!H133</f>
        <v/>
      </c>
      <c t="str" r="I134">
        <f>'Unit Prices'!I133</f>
        <v/>
      </c>
    </row>
    <row r="135">
      <c t="str" r="A135">
        <f>'Unit Prices'!A134</f>
        <v/>
      </c>
      <c t="str" r="B135">
        <f>'Unit Prices'!B134</f>
        <v/>
      </c>
      <c t="str" r="C135">
        <f>'Unit Prices'!C134</f>
        <v/>
      </c>
      <c t="str" r="D135">
        <f>'Unit Prices'!D134</f>
        <v/>
      </c>
      <c t="str" r="E135">
        <f>'Unit Prices'!E134</f>
        <v/>
      </c>
      <c t="str" r="F135">
        <f>'Unit Prices'!F134</f>
        <v/>
      </c>
      <c t="str" r="G135">
        <f>'Unit Prices'!G134</f>
        <v/>
      </c>
      <c t="str" r="H135">
        <f>'Unit Prices'!H134</f>
        <v/>
      </c>
      <c t="str" r="I135">
        <f>'Unit Prices'!I134</f>
        <v/>
      </c>
    </row>
    <row r="136">
      <c t="str" r="A136">
        <f>'Unit Prices'!A135</f>
        <v/>
      </c>
      <c t="str" r="B136">
        <f>'Unit Prices'!B135</f>
        <v/>
      </c>
      <c t="str" r="C136">
        <f>'Unit Prices'!C135</f>
        <v/>
      </c>
      <c t="str" r="D136">
        <f>'Unit Prices'!D135</f>
        <v/>
      </c>
      <c t="str" r="E136">
        <f>'Unit Prices'!E135</f>
        <v/>
      </c>
      <c t="str" r="F136">
        <f>'Unit Prices'!F135</f>
        <v/>
      </c>
      <c t="str" r="G136">
        <f>'Unit Prices'!G135</f>
        <v/>
      </c>
      <c t="str" r="H136">
        <f>'Unit Prices'!H135</f>
        <v/>
      </c>
      <c t="str" r="I136">
        <f>'Unit Prices'!I135</f>
        <v/>
      </c>
    </row>
    <row r="137">
      <c t="str" r="A137">
        <f>'Unit Prices'!A136</f>
        <v/>
      </c>
      <c t="str" r="B137">
        <f>'Unit Prices'!B136</f>
        <v/>
      </c>
      <c t="str" r="C137">
        <f>'Unit Prices'!C136</f>
        <v/>
      </c>
      <c t="str" r="D137">
        <f>'Unit Prices'!D136</f>
        <v/>
      </c>
      <c t="str" r="E137">
        <f>'Unit Prices'!E136</f>
        <v/>
      </c>
      <c t="str" r="F137">
        <f>'Unit Prices'!F136</f>
        <v/>
      </c>
      <c t="str" r="G137">
        <f>'Unit Prices'!G136</f>
        <v/>
      </c>
      <c t="str" r="H137">
        <f>'Unit Prices'!H136</f>
        <v/>
      </c>
      <c t="str" r="I137">
        <f>'Unit Prices'!I136</f>
        <v/>
      </c>
    </row>
    <row r="138">
      <c t="str" r="A138">
        <f>'Unit Prices'!A137</f>
        <v/>
      </c>
      <c t="str" r="B138">
        <f>'Unit Prices'!B137</f>
        <v/>
      </c>
      <c t="str" r="C138">
        <f>'Unit Prices'!C137</f>
        <v/>
      </c>
      <c t="str" r="D138">
        <f>'Unit Prices'!D137</f>
        <v/>
      </c>
      <c t="str" r="E138">
        <f>'Unit Prices'!E137</f>
        <v/>
      </c>
      <c t="str" r="F138">
        <f>'Unit Prices'!F137</f>
        <v/>
      </c>
      <c t="str" r="G138">
        <f>'Unit Prices'!G137</f>
        <v/>
      </c>
      <c t="str" r="H138">
        <f>'Unit Prices'!H137</f>
        <v/>
      </c>
      <c t="str" r="I138">
        <f>'Unit Prices'!I137</f>
        <v/>
      </c>
    </row>
    <row r="139">
      <c t="str" r="A139">
        <f>'Unit Prices'!A138</f>
        <v/>
      </c>
      <c t="str" r="B139">
        <f>'Unit Prices'!B138</f>
        <v/>
      </c>
      <c t="str" r="C139">
        <f>'Unit Prices'!C138</f>
        <v/>
      </c>
      <c t="str" r="D139">
        <f>'Unit Prices'!D138</f>
        <v/>
      </c>
      <c t="str" r="E139">
        <f>'Unit Prices'!E138</f>
        <v/>
      </c>
      <c t="str" r="F139">
        <f>'Unit Prices'!F138</f>
        <v/>
      </c>
      <c t="str" r="G139">
        <f>'Unit Prices'!G138</f>
        <v/>
      </c>
      <c t="str" r="H139">
        <f>'Unit Prices'!H138</f>
        <v/>
      </c>
      <c t="str" r="I139">
        <f>'Unit Prices'!I138</f>
        <v/>
      </c>
    </row>
    <row r="140">
      <c t="str" r="A140">
        <f>'Unit Prices'!A139</f>
        <v/>
      </c>
      <c t="str" r="B140">
        <f>'Unit Prices'!B139</f>
        <v/>
      </c>
      <c t="str" r="C140">
        <f>'Unit Prices'!C139</f>
        <v/>
      </c>
      <c t="str" r="D140">
        <f>'Unit Prices'!D139</f>
        <v/>
      </c>
      <c t="str" r="E140">
        <f>'Unit Prices'!E139</f>
        <v/>
      </c>
      <c t="str" r="F140">
        <f>'Unit Prices'!F139</f>
        <v/>
      </c>
      <c t="str" r="G140">
        <f>'Unit Prices'!G139</f>
        <v/>
      </c>
      <c t="str" r="H140">
        <f>'Unit Prices'!H139</f>
        <v/>
      </c>
      <c t="str" r="I140">
        <f>'Unit Prices'!I139</f>
        <v/>
      </c>
    </row>
    <row r="141">
      <c t="str" r="A141">
        <f>'Unit Prices'!A140</f>
        <v/>
      </c>
      <c t="str" r="B141">
        <f>'Unit Prices'!B140</f>
        <v/>
      </c>
      <c t="str" r="C141">
        <f>'Unit Prices'!C140</f>
        <v/>
      </c>
      <c t="str" r="D141">
        <f>'Unit Prices'!D140</f>
        <v/>
      </c>
      <c t="str" r="E141">
        <f>'Unit Prices'!E140</f>
        <v/>
      </c>
      <c t="str" r="F141">
        <f>'Unit Prices'!F140</f>
        <v/>
      </c>
      <c t="str" r="G141">
        <f>'Unit Prices'!G140</f>
        <v/>
      </c>
      <c t="str" r="H141">
        <f>'Unit Prices'!H140</f>
        <v/>
      </c>
      <c t="str" r="I141">
        <f>'Unit Prices'!I140</f>
        <v/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86" defaultRowHeight="15.75"/>
  <cols>
    <col min="1" customWidth="1" max="1" style="308" width="67.43"/>
    <col min="2" max="6" style="308" width="13.14"/>
  </cols>
  <sheetData>
    <row r="1">
      <c s="54" r="A1"/>
      <c s="54" r="B1"/>
      <c s="54" r="C1"/>
      <c s="54" r="D1"/>
      <c s="54" r="E1"/>
      <c s="54" r="F1"/>
    </row>
    <row r="2">
      <c s="54" r="A2"/>
      <c s="54" r="B2"/>
      <c s="54" r="C2"/>
      <c s="54" r="D2"/>
      <c s="54" r="E2"/>
      <c s="54" r="F2"/>
    </row>
    <row r="3">
      <c s="54" r="A3"/>
      <c s="54" r="B3"/>
      <c s="54" r="C3"/>
      <c s="54" r="D3"/>
      <c s="54" r="E3"/>
      <c s="54" r="F3"/>
    </row>
    <row r="4">
      <c s="54" r="A4"/>
      <c s="54" r="B4"/>
      <c s="54" r="C4"/>
      <c s="54" r="D4"/>
      <c s="54" r="E4"/>
      <c s="54" r="F4"/>
    </row>
    <row customHeight="1" r="5" ht="24.75">
      <c t="s" s="261" r="A5">
        <v>10</v>
      </c>
      <c s="54" r="B5"/>
      <c s="54" r="C5"/>
      <c s="54" r="D5"/>
      <c s="54" r="E5"/>
      <c s="54" r="F5"/>
    </row>
    <row customHeight="1" r="6" ht="24.75">
      <c t="s" s="261" r="A6">
        <v>11</v>
      </c>
      <c s="54" r="B6"/>
      <c s="54" r="C6"/>
      <c s="54" r="D6"/>
      <c s="54" r="E6"/>
      <c s="54" r="F6"/>
    </row>
    <row customHeight="1" r="7" ht="24.75">
      <c s="268" r="A7"/>
      <c s="54" r="B7"/>
      <c s="54" r="C7"/>
      <c s="54" r="D7"/>
      <c s="54" r="E7"/>
      <c s="54" r="F7"/>
    </row>
    <row customHeight="1" r="8" ht="24.75">
      <c t="s" s="261" r="A8">
        <v>12</v>
      </c>
      <c s="54" r="B8"/>
      <c s="54" r="C8"/>
      <c s="54" r="D8"/>
      <c s="54" r="E8"/>
      <c s="54" r="F8"/>
    </row>
    <row r="9">
      <c s="375" r="A9"/>
      <c s="54" r="B9"/>
      <c s="54" r="C9"/>
      <c s="54" r="D9"/>
      <c s="54" r="E9"/>
      <c s="54" r="F9"/>
    </row>
    <row customHeight="1" r="10" ht="21.0">
      <c t="s" s="93" r="A10">
        <v>13</v>
      </c>
      <c s="132" r="B10"/>
      <c s="54" r="C10"/>
      <c s="54" r="D10"/>
      <c s="54" r="E10"/>
      <c s="54" r="F10"/>
    </row>
    <row customHeight="1" r="11" ht="21.0">
      <c t="s" s="224" r="A11">
        <v>14</v>
      </c>
      <c s="132" r="B11"/>
      <c s="54" r="C11"/>
      <c s="54" r="D11"/>
      <c s="54" r="E11"/>
      <c s="54" r="F11"/>
    </row>
    <row customHeight="1" r="12" ht="21.0">
      <c t="s" s="360" r="A12">
        <v>15</v>
      </c>
      <c s="132" r="B12"/>
      <c s="54" r="C12"/>
      <c s="54" r="D12"/>
      <c s="54" r="E12"/>
      <c s="54" r="F12"/>
    </row>
    <row customHeight="1" r="13" ht="21.0">
      <c t="s" s="360" r="A13">
        <v>16</v>
      </c>
      <c s="132" r="B13"/>
      <c s="54" r="C13"/>
      <c s="54" r="D13"/>
      <c s="54" r="E13"/>
      <c s="54" r="F13"/>
    </row>
    <row customHeight="1" r="14" ht="21.0">
      <c t="s" s="360" r="A14">
        <v>17</v>
      </c>
      <c s="132" r="B14"/>
      <c s="54" r="C14"/>
      <c s="54" r="D14"/>
      <c s="54" r="E14"/>
      <c s="54" r="F14"/>
    </row>
    <row customHeight="1" r="15" ht="21.0">
      <c t="s" s="360" r="A15">
        <v>18</v>
      </c>
      <c s="132" r="B15"/>
      <c s="54" r="C15"/>
      <c s="54" r="D15"/>
      <c s="54" r="E15"/>
      <c s="54" r="F15"/>
    </row>
    <row customHeight="1" r="16" ht="21.0">
      <c t="s" s="130" r="A16">
        <v>19</v>
      </c>
      <c s="132" r="B16"/>
      <c s="54" r="C16"/>
      <c s="54" r="D16"/>
      <c s="54" r="E16"/>
      <c s="54" r="F16"/>
    </row>
    <row r="17">
      <c s="68" r="A17"/>
      <c s="54" r="B17"/>
      <c s="54" r="C17"/>
      <c s="54" r="D17"/>
      <c s="54" r="E17"/>
      <c s="54" r="F17"/>
    </row>
    <row r="18">
      <c s="54" r="A18"/>
      <c s="54" r="B18"/>
      <c s="54" r="C18"/>
      <c s="54" r="D18"/>
      <c s="54" r="E18"/>
      <c s="54" r="F18"/>
    </row>
    <row r="19">
      <c s="54" r="A19"/>
      <c s="54" r="B19"/>
      <c s="54" r="C19"/>
      <c s="54" r="D19"/>
      <c s="54" r="E19"/>
      <c s="54" r="F19"/>
    </row>
    <row r="20">
      <c s="54" r="A20"/>
      <c s="54" r="B20"/>
      <c s="54" r="C20"/>
      <c s="54" r="D20"/>
      <c s="54" r="E20"/>
      <c s="54" r="F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38.71" defaultRowHeight="13.5"/>
  <cols>
    <col min="1" customWidth="1" max="1" style="142" width="58.86"/>
    <col min="2" customWidth="1" max="2" style="142" width="47.14"/>
    <col min="3" max="6" style="142" width="38.0"/>
  </cols>
  <sheetData>
    <row r="1">
      <c s="411" r="A1"/>
      <c s="411" r="B1"/>
      <c s="411" r="C1"/>
      <c s="411" r="D1"/>
      <c s="411" r="E1"/>
      <c s="61" r="F1"/>
    </row>
    <row customHeight="1" r="2" ht="18.0">
      <c t="s" s="325" r="A2">
        <v>20</v>
      </c>
      <c s="244" r="B2"/>
      <c s="244" r="C2"/>
      <c s="244" r="D2"/>
      <c s="161" r="E2"/>
      <c s="72" r="F2"/>
    </row>
    <row r="3">
      <c t="s" s="31" r="A3">
        <v>21</v>
      </c>
      <c s="239" r="B3"/>
      <c s="239" r="C3"/>
      <c s="239" r="D3"/>
      <c s="429" r="E3"/>
      <c s="72" r="F3"/>
    </row>
    <row r="4">
      <c s="101" r="A4"/>
      <c s="63" r="B4"/>
      <c s="63" r="C4"/>
      <c s="63" r="D4"/>
      <c s="75" r="E4"/>
      <c s="72" r="F4"/>
    </row>
    <row r="5">
      <c t="s" s="73" r="A5">
        <v>22</v>
      </c>
      <c s="369" r="B5"/>
      <c s="369" r="C5"/>
      <c s="369" r="D5"/>
      <c s="44" r="E5"/>
      <c s="72" r="F5"/>
    </row>
    <row r="6">
      <c t="s" s="32" r="A6">
        <v>23</v>
      </c>
      <c t="s" s="440" r="B6">
        <v>7</v>
      </c>
      <c t="s" s="440" r="C6">
        <v>24</v>
      </c>
      <c t="s" s="440" r="D6">
        <v>25</v>
      </c>
      <c t="s" s="84" r="E6">
        <v>26</v>
      </c>
      <c s="72" r="F6"/>
    </row>
    <row customHeight="1" r="7" ht="16.5">
      <c t="s" s="3" r="A7">
        <v>27</v>
      </c>
      <c t="s" s="56" r="B7">
        <v>28</v>
      </c>
      <c t="s" s="56" r="C7">
        <v>29</v>
      </c>
      <c t="s" s="8" r="D7">
        <v>30</v>
      </c>
      <c s="428" r="E7">
        <v>0.15</v>
      </c>
      <c s="72" r="F7"/>
    </row>
    <row r="8">
      <c t="s" s="96" r="A8">
        <v>31</v>
      </c>
      <c t="s" s="142" r="B8">
        <v>32</v>
      </c>
      <c t="s" s="142" r="C8">
        <v>33</v>
      </c>
      <c t="s" s="40" r="D8">
        <v>34</v>
      </c>
      <c s="207" r="E8">
        <v>0.2</v>
      </c>
      <c s="72" r="F8"/>
    </row>
    <row r="9">
      <c t="s" s="96" r="A9">
        <v>35</v>
      </c>
      <c t="s" s="142" r="B9">
        <v>36</v>
      </c>
      <c t="s" s="142" r="C9">
        <v>37</v>
      </c>
      <c t="s" s="40" r="D9">
        <v>34</v>
      </c>
      <c s="207" r="E9">
        <v>0.25</v>
      </c>
      <c s="72" r="F9"/>
    </row>
    <row r="10">
      <c t="s" s="96" r="A10">
        <v>38</v>
      </c>
      <c t="s" s="142" r="B10">
        <v>39</v>
      </c>
      <c t="s" s="142" r="C10">
        <v>40</v>
      </c>
      <c t="s" s="40" r="D10">
        <v>34</v>
      </c>
      <c s="207" r="E10">
        <v>0.3</v>
      </c>
      <c s="72" r="F10"/>
    </row>
    <row r="11">
      <c s="96" r="A11"/>
      <c s="142" r="B11"/>
      <c s="142" r="C11"/>
      <c s="142" r="D11"/>
      <c s="207" r="E11"/>
      <c s="72" r="F11"/>
    </row>
    <row r="12">
      <c s="332" r="A12"/>
      <c s="205" r="B12"/>
      <c s="232" r="C12"/>
      <c s="232" r="D12"/>
      <c s="71" r="E12"/>
      <c s="72" r="F12"/>
    </row>
    <row r="13">
      <c t="s" s="73" r="A13">
        <v>41</v>
      </c>
      <c s="369" r="B13"/>
      <c s="369" r="C13"/>
      <c s="369" r="D13"/>
      <c s="44" r="E13"/>
      <c s="72" r="F13"/>
    </row>
    <row r="14">
      <c t="s" s="32" r="A14">
        <v>23</v>
      </c>
      <c t="s" s="440" r="B14">
        <v>7</v>
      </c>
      <c t="s" s="440" r="C14">
        <v>24</v>
      </c>
      <c t="s" s="440" r="D14">
        <v>25</v>
      </c>
      <c t="s" s="84" r="E14">
        <v>26</v>
      </c>
      <c s="72" r="F14"/>
    </row>
    <row r="15">
      <c t="s" s="3" r="A15">
        <v>27</v>
      </c>
      <c t="s" s="56" r="B15">
        <v>42</v>
      </c>
      <c t="s" s="56" r="C15">
        <v>29</v>
      </c>
      <c t="s" s="8" r="D15">
        <v>34</v>
      </c>
      <c s="428" r="E15">
        <v>0.05</v>
      </c>
      <c s="72" r="F15"/>
    </row>
    <row r="16">
      <c t="s" s="96" r="A16">
        <v>31</v>
      </c>
      <c t="s" s="142" r="B16">
        <v>43</v>
      </c>
      <c t="s" s="142" r="C16">
        <v>33</v>
      </c>
      <c t="s" s="40" r="D16">
        <v>34</v>
      </c>
      <c s="207" r="E16">
        <v>0.1</v>
      </c>
      <c s="72" r="F16"/>
    </row>
    <row r="17">
      <c t="s" s="96" r="A17">
        <v>35</v>
      </c>
      <c t="s" s="142" r="B17">
        <v>44</v>
      </c>
      <c t="s" s="142" r="C17">
        <v>37</v>
      </c>
      <c t="s" s="40" r="D17">
        <v>34</v>
      </c>
      <c s="207" r="E17">
        <v>0.15</v>
      </c>
      <c s="72" r="F17"/>
    </row>
    <row r="18">
      <c t="s" s="96" r="A18">
        <v>38</v>
      </c>
      <c t="s" s="142" r="B18">
        <v>45</v>
      </c>
      <c t="s" s="142" r="C18">
        <v>40</v>
      </c>
      <c t="s" s="40" r="D18">
        <v>34</v>
      </c>
      <c s="207" r="E18">
        <v>0.2</v>
      </c>
      <c s="72" r="F18"/>
    </row>
    <row r="19">
      <c s="96" r="A19"/>
      <c s="142" r="B19"/>
      <c s="142" r="C19"/>
      <c s="142" r="D19"/>
      <c s="207" r="E19"/>
      <c s="72" r="F19"/>
    </row>
    <row r="20">
      <c s="332" r="A20"/>
      <c s="232" r="B20"/>
      <c s="232" r="C20"/>
      <c s="232" r="D20"/>
      <c s="71" r="E20"/>
      <c s="72" r="F20"/>
    </row>
    <row r="21">
      <c t="s" s="73" r="A21">
        <v>46</v>
      </c>
      <c s="369" r="B21"/>
      <c s="369" r="C21"/>
      <c s="369" r="D21"/>
      <c s="44" r="E21"/>
      <c s="72" r="F21"/>
    </row>
    <row r="22">
      <c t="s" s="32" r="A22">
        <v>23</v>
      </c>
      <c t="s" s="440" r="B22">
        <v>7</v>
      </c>
      <c t="s" s="440" r="C22">
        <v>24</v>
      </c>
      <c t="s" s="440" r="D22">
        <v>25</v>
      </c>
      <c t="s" s="84" r="E22">
        <v>26</v>
      </c>
      <c s="72" r="F22"/>
    </row>
    <row r="23">
      <c t="s" s="3" r="A23">
        <v>27</v>
      </c>
      <c t="s" s="56" r="B23">
        <v>47</v>
      </c>
      <c t="s" s="56" r="C23">
        <v>29</v>
      </c>
      <c t="s" s="8" r="D23">
        <v>34</v>
      </c>
      <c s="428" r="E23">
        <v>0.1</v>
      </c>
      <c s="72" r="F23"/>
    </row>
    <row r="24">
      <c t="s" s="96" r="A24">
        <v>31</v>
      </c>
      <c t="s" s="142" r="B24">
        <v>48</v>
      </c>
      <c t="s" s="142" r="C24">
        <v>33</v>
      </c>
      <c t="s" s="40" r="D24">
        <v>34</v>
      </c>
      <c s="207" r="E24">
        <v>0.15</v>
      </c>
      <c s="72" r="F24"/>
    </row>
    <row r="25">
      <c t="s" s="96" r="A25">
        <v>35</v>
      </c>
      <c t="s" s="142" r="B25">
        <v>49</v>
      </c>
      <c t="s" s="142" r="C25">
        <v>37</v>
      </c>
      <c t="s" s="40" r="D25">
        <v>34</v>
      </c>
      <c s="207" r="E25">
        <v>0.2</v>
      </c>
      <c s="72" r="F25"/>
    </row>
    <row r="26">
      <c t="s" s="96" r="A26">
        <v>38</v>
      </c>
      <c t="s" s="142" r="B26">
        <v>50</v>
      </c>
      <c t="s" s="142" r="C26">
        <v>40</v>
      </c>
      <c t="s" s="40" r="D26">
        <v>34</v>
      </c>
      <c s="207" r="E26">
        <v>0.25</v>
      </c>
      <c s="72" r="F26"/>
    </row>
    <row r="27">
      <c s="96" r="A27"/>
      <c s="142" r="B27"/>
      <c s="142" r="C27"/>
      <c s="142" r="D27"/>
      <c s="207" r="E27"/>
      <c s="72" r="F27"/>
    </row>
    <row r="28">
      <c s="332" r="A28"/>
      <c s="232" r="B28"/>
      <c s="232" r="C28"/>
      <c s="232" r="D28"/>
      <c s="71" r="E28"/>
      <c s="72" r="F28"/>
    </row>
    <row r="29">
      <c t="s" s="73" r="A29">
        <v>51</v>
      </c>
      <c s="369" r="B29"/>
      <c s="369" r="C29"/>
      <c s="369" r="D29"/>
      <c s="44" r="E29"/>
      <c s="72" r="F29"/>
    </row>
    <row r="30">
      <c t="s" s="32" r="A30">
        <v>23</v>
      </c>
      <c t="s" s="440" r="B30">
        <v>7</v>
      </c>
      <c t="s" s="440" r="C30">
        <v>24</v>
      </c>
      <c t="s" s="440" r="D30">
        <v>25</v>
      </c>
      <c t="s" s="84" r="E30">
        <v>26</v>
      </c>
      <c s="72" r="F30"/>
    </row>
    <row r="31">
      <c t="s" s="3" r="A31">
        <v>27</v>
      </c>
      <c t="s" s="56" r="B31">
        <v>52</v>
      </c>
      <c t="s" s="56" r="C31">
        <v>29</v>
      </c>
      <c t="s" s="8" r="D31">
        <v>34</v>
      </c>
      <c s="428" r="E31">
        <v>0</v>
      </c>
      <c s="72" r="F31"/>
    </row>
    <row r="32">
      <c t="s" s="96" r="A32">
        <v>31</v>
      </c>
      <c t="s" s="142" r="B32">
        <v>53</v>
      </c>
      <c t="s" s="142" r="C32">
        <v>33</v>
      </c>
      <c t="s" s="40" r="D32">
        <v>34</v>
      </c>
      <c s="207" r="E32">
        <v>0.05</v>
      </c>
      <c s="72" r="F32"/>
    </row>
    <row r="33">
      <c t="s" s="96" r="A33">
        <v>35</v>
      </c>
      <c t="s" s="142" r="B33">
        <v>54</v>
      </c>
      <c t="s" s="142" r="C33">
        <v>37</v>
      </c>
      <c t="s" s="40" r="D33">
        <v>34</v>
      </c>
      <c s="207" r="E33">
        <v>0.1</v>
      </c>
      <c s="72" r="F33"/>
    </row>
    <row r="34">
      <c t="s" s="96" r="A34">
        <v>38</v>
      </c>
      <c t="s" s="142" r="B34">
        <v>55</v>
      </c>
      <c t="s" s="142" r="C34">
        <v>40</v>
      </c>
      <c t="s" s="40" r="D34">
        <v>34</v>
      </c>
      <c s="207" r="E34">
        <v>0.15</v>
      </c>
      <c s="72" r="F34"/>
    </row>
    <row r="35">
      <c s="96" r="A35"/>
      <c s="142" r="B35"/>
      <c s="142" r="C35"/>
      <c s="142" r="D35"/>
      <c s="207" r="E35"/>
      <c s="72" r="F35"/>
    </row>
    <row r="36">
      <c s="332" r="A36"/>
      <c s="232" r="B36"/>
      <c s="232" r="C36"/>
      <c s="232" r="D36"/>
      <c s="71" r="E36"/>
      <c s="72" r="F36"/>
    </row>
    <row r="37">
      <c t="s" s="73" r="A37">
        <v>56</v>
      </c>
      <c s="369" r="B37"/>
      <c s="369" r="C37"/>
      <c s="369" r="D37"/>
      <c s="44" r="E37"/>
      <c s="72" r="F37"/>
    </row>
    <row r="38">
      <c t="s" s="32" r="A38">
        <v>23</v>
      </c>
      <c t="s" s="440" r="B38">
        <v>7</v>
      </c>
      <c t="s" s="440" r="C38">
        <v>24</v>
      </c>
      <c t="s" s="440" r="D38">
        <v>57</v>
      </c>
      <c t="s" s="84" r="E38">
        <v>26</v>
      </c>
      <c s="72" r="F38"/>
    </row>
    <row r="39">
      <c t="s" s="3" r="A39">
        <v>27</v>
      </c>
      <c t="s" s="56" r="B39">
        <v>58</v>
      </c>
      <c t="s" s="56" r="C39">
        <v>29</v>
      </c>
      <c t="s" s="8" r="D39">
        <v>34</v>
      </c>
      <c s="428" r="E39">
        <v>0</v>
      </c>
      <c s="72" r="F39"/>
    </row>
    <row r="40">
      <c t="s" s="96" r="A40">
        <v>31</v>
      </c>
      <c t="s" s="142" r="B40">
        <v>59</v>
      </c>
      <c t="s" s="142" r="C40">
        <v>33</v>
      </c>
      <c t="s" s="40" r="D40">
        <v>34</v>
      </c>
      <c s="207" r="E40">
        <v>0.05</v>
      </c>
      <c s="72" r="F40"/>
    </row>
    <row r="41">
      <c t="s" s="96" r="A41">
        <v>35</v>
      </c>
      <c t="s" s="142" r="B41">
        <v>60</v>
      </c>
      <c t="s" s="142" r="C41">
        <v>37</v>
      </c>
      <c t="s" s="40" r="D41">
        <v>34</v>
      </c>
      <c s="207" r="E41">
        <v>0.1</v>
      </c>
      <c s="72" r="F41"/>
    </row>
    <row r="42">
      <c t="s" s="96" r="A42">
        <v>38</v>
      </c>
      <c t="s" s="142" r="B42">
        <v>61</v>
      </c>
      <c t="s" s="142" r="C42">
        <v>40</v>
      </c>
      <c t="s" s="40" r="D42">
        <v>34</v>
      </c>
      <c s="207" r="E42">
        <v>0.15</v>
      </c>
      <c s="72" r="F42"/>
    </row>
    <row r="43">
      <c s="96" r="A43"/>
      <c s="142" r="B43"/>
      <c s="142" r="C43"/>
      <c s="142" r="D43"/>
      <c s="207" r="E43"/>
      <c s="72" r="F43"/>
    </row>
    <row r="44">
      <c s="332" r="A44"/>
      <c s="232" r="B44"/>
      <c s="232" r="C44"/>
      <c s="232" r="D44"/>
      <c s="71" r="E44"/>
      <c s="72" r="F44"/>
    </row>
    <row r="45">
      <c s="195" r="A45"/>
      <c s="195" r="B45"/>
      <c s="195" r="C45"/>
      <c s="195" r="D45"/>
      <c s="399" r="E45"/>
      <c s="61" r="F45"/>
    </row>
    <row customHeight="1" r="46" ht="18.0">
      <c t="s" s="135" r="A46">
        <v>62</v>
      </c>
      <c s="324" r="B46"/>
      <c s="324" r="C46"/>
      <c s="324" r="D46"/>
      <c s="176" r="E46"/>
      <c s="72" r="F46"/>
    </row>
    <row r="47">
      <c t="s" s="31" r="A47">
        <v>23</v>
      </c>
      <c t="s" s="239" r="B47">
        <v>7</v>
      </c>
      <c t="s" s="239" r="C47">
        <v>63</v>
      </c>
      <c s="239" r="D47"/>
      <c s="429" r="E47"/>
      <c s="72" r="F47"/>
    </row>
    <row r="48">
      <c t="s" s="3" r="A48">
        <v>64</v>
      </c>
      <c t="s" s="8" r="B48">
        <v>65</v>
      </c>
      <c s="1" r="C48">
        <v>0</v>
      </c>
      <c s="55" r="D48"/>
      <c s="366" r="E48"/>
      <c s="72" r="F48"/>
    </row>
    <row r="49">
      <c t="s" s="96" r="A49">
        <v>66</v>
      </c>
      <c t="s" s="40" r="B49">
        <v>67</v>
      </c>
      <c s="289" r="C49">
        <v>0</v>
      </c>
      <c s="421" r="D49"/>
      <c s="223" r="E49"/>
      <c s="72" r="F49"/>
    </row>
    <row r="50">
      <c s="332" r="A50"/>
      <c s="232" r="B50"/>
      <c s="232" r="C50"/>
      <c s="232" r="D50"/>
      <c s="4" r="E50"/>
      <c s="72" r="F50"/>
    </row>
    <row r="51">
      <c s="195" r="A51"/>
      <c s="195" r="B51"/>
      <c s="195" r="C51"/>
      <c s="195" r="D51"/>
      <c s="399" r="E51"/>
      <c s="61" r="F51"/>
    </row>
    <row customHeight="1" r="52" ht="18.0">
      <c t="s" s="135" r="A52">
        <v>68</v>
      </c>
      <c s="324" r="B52"/>
      <c s="324" r="C52"/>
      <c s="324" r="D52"/>
      <c s="176" r="E52"/>
      <c s="72" r="F52"/>
    </row>
    <row r="53">
      <c t="s" s="31" r="A53">
        <v>23</v>
      </c>
      <c t="s" s="239" r="B53">
        <v>7</v>
      </c>
      <c t="s" s="239" r="C53">
        <v>63</v>
      </c>
      <c s="239" r="D53"/>
      <c s="429" r="E53"/>
      <c s="72" r="F53"/>
    </row>
    <row customHeight="1" r="54" ht="27.75">
      <c t="s" s="3" r="A54">
        <v>69</v>
      </c>
      <c t="s" s="8" r="B54">
        <v>70</v>
      </c>
      <c t="s" s="8" r="C54">
        <v>71</v>
      </c>
      <c s="55" r="D54"/>
      <c s="366" r="E54"/>
      <c s="72" r="F54"/>
    </row>
    <row customHeight="1" r="55" ht="27.75">
      <c t="s" s="96" r="A55">
        <v>72</v>
      </c>
      <c t="s" s="40" r="B55">
        <v>73</v>
      </c>
      <c t="s" s="40" r="C55">
        <v>71</v>
      </c>
      <c s="421" r="D55"/>
      <c s="223" r="E55"/>
      <c s="72" r="F55"/>
    </row>
    <row r="56">
      <c t="s" s="96" r="A56">
        <v>74</v>
      </c>
      <c t="s" s="40" r="B56">
        <v>75</v>
      </c>
      <c t="s" s="40" r="C56">
        <v>34</v>
      </c>
      <c s="421" r="D56"/>
      <c s="223" r="E56"/>
      <c s="72" r="F56"/>
    </row>
    <row r="57">
      <c t="s" s="96" r="A57">
        <v>76</v>
      </c>
      <c t="s" s="40" r="B57">
        <v>77</v>
      </c>
      <c t="s" s="40" r="C57">
        <v>34</v>
      </c>
      <c s="421" r="D57"/>
      <c s="223" r="E57"/>
      <c s="72" r="F57"/>
    </row>
    <row customHeight="1" r="58" ht="15.0">
      <c t="s" s="96" r="A58">
        <v>78</v>
      </c>
      <c t="s" s="40" r="B58">
        <v>79</v>
      </c>
      <c t="s" s="40" r="C58">
        <v>34</v>
      </c>
      <c s="421" r="D58"/>
      <c s="223" r="E58"/>
      <c s="72" r="F58"/>
    </row>
    <row r="59">
      <c t="s" s="96" r="A59">
        <v>80</v>
      </c>
      <c t="s" s="40" r="B59">
        <v>81</v>
      </c>
      <c t="s" s="40" r="C59">
        <v>34</v>
      </c>
      <c s="421" r="D59"/>
      <c s="223" r="E59"/>
      <c s="72" r="F59"/>
    </row>
    <row r="60">
      <c t="s" s="96" r="A60">
        <v>82</v>
      </c>
      <c t="s" s="40" r="B60">
        <v>83</v>
      </c>
      <c t="s" s="40" r="C60">
        <v>84</v>
      </c>
      <c s="142" r="D60"/>
      <c s="247" r="E60"/>
      <c s="72" r="F60"/>
    </row>
    <row r="61">
      <c s="332" r="A61"/>
      <c s="232" r="B61"/>
      <c s="232" r="C61"/>
      <c s="232" r="D61"/>
      <c s="4" r="E61"/>
      <c s="72" r="F61"/>
    </row>
    <row r="62">
      <c s="195" r="A62"/>
      <c s="195" r="B62"/>
      <c s="195" r="C62"/>
      <c s="195" r="D62"/>
      <c s="195" r="E62"/>
      <c s="61" r="F62"/>
    </row>
    <row customHeight="1" r="63" ht="18.0">
      <c t="s" s="309" r="A63">
        <v>85</v>
      </c>
      <c s="422" r="B63"/>
      <c s="422" r="C63"/>
      <c s="422" r="D63"/>
      <c s="236" r="E63"/>
      <c s="72" r="F63"/>
    </row>
    <row r="64">
      <c t="s" s="31" r="A64">
        <v>23</v>
      </c>
      <c t="s" s="239" r="B64">
        <v>7</v>
      </c>
      <c t="s" s="239" r="C64">
        <v>57</v>
      </c>
      <c s="239" r="D64"/>
      <c s="429" r="E64"/>
      <c s="72" r="F64"/>
    </row>
    <row r="65">
      <c t="s" s="3" r="A65">
        <v>86</v>
      </c>
      <c t="s" s="56" r="B65">
        <v>87</v>
      </c>
      <c s="22" r="C65">
        <v>66500</v>
      </c>
      <c s="376" r="D65"/>
      <c s="366" r="E65"/>
      <c s="72" r="F65"/>
    </row>
    <row r="66">
      <c t="s" s="96" r="A66">
        <v>88</v>
      </c>
      <c t="s" s="142" r="B66">
        <v>89</v>
      </c>
      <c s="361" r="C66">
        <v>199500</v>
      </c>
      <c s="38" r="D66"/>
      <c s="223" r="E66"/>
      <c s="72" r="F66"/>
    </row>
    <row r="67">
      <c t="s" s="96" r="A67">
        <v>90</v>
      </c>
      <c t="s" s="142" r="B67">
        <v>91</v>
      </c>
      <c s="361" r="C67">
        <v>500</v>
      </c>
      <c s="38" r="D67"/>
      <c s="223" r="E67"/>
      <c s="72" r="F67"/>
    </row>
    <row r="68">
      <c t="s" s="96" r="A68">
        <v>92</v>
      </c>
      <c t="s" s="142" r="B68">
        <v>93</v>
      </c>
      <c s="361" r="C68">
        <v>1500</v>
      </c>
      <c s="38" r="D68"/>
      <c s="223" r="E68"/>
      <c s="72" r="F68"/>
    </row>
    <row customHeight="1" r="69" ht="27.75">
      <c t="s" s="96" r="A69">
        <v>94</v>
      </c>
      <c t="s" s="142" r="B69">
        <v>95</v>
      </c>
      <c t="s" s="40" r="C69">
        <v>96</v>
      </c>
      <c s="421" r="D69"/>
      <c s="223" r="E69"/>
      <c s="72" r="F69"/>
    </row>
    <row customHeight="1" r="70" ht="27.75">
      <c t="s" s="96" r="A70">
        <v>97</v>
      </c>
      <c t="s" s="142" r="B70">
        <v>98</v>
      </c>
      <c t="s" s="40" r="C70">
        <v>96</v>
      </c>
      <c s="421" r="D70"/>
      <c s="223" r="E70"/>
      <c s="72" r="F70"/>
    </row>
    <row r="71">
      <c s="332" r="A71"/>
      <c s="232" r="B71"/>
      <c s="232" r="C71"/>
      <c s="232" r="D71"/>
      <c s="4" r="E71"/>
      <c s="72" r="F71"/>
    </row>
    <row r="72">
      <c s="195" r="A72"/>
      <c s="195" r="B72"/>
      <c s="195" r="C72"/>
      <c s="195" r="D72"/>
      <c s="195" r="E72"/>
      <c s="61" r="F72"/>
    </row>
    <row customHeight="1" r="73" ht="18.0">
      <c t="s" s="309" r="A73">
        <v>99</v>
      </c>
      <c s="422" r="B73"/>
      <c s="422" r="C73"/>
      <c s="422" r="D73"/>
      <c s="236" r="E73"/>
      <c s="72" r="F73"/>
    </row>
    <row r="74">
      <c t="s" s="31" r="A74">
        <v>23</v>
      </c>
      <c t="s" s="239" r="B74">
        <v>7</v>
      </c>
      <c t="s" s="239" r="C74">
        <v>57</v>
      </c>
      <c s="239" r="D74"/>
      <c s="429" r="E74"/>
      <c s="72" r="F74"/>
    </row>
    <row customHeight="1" r="75" ht="27.75">
      <c t="s" s="3" r="A75">
        <v>100</v>
      </c>
      <c t="s" s="56" r="B75">
        <v>101</v>
      </c>
      <c s="1" r="C75">
        <v>0.2</v>
      </c>
      <c s="168" r="D75"/>
      <c s="366" r="E75"/>
      <c s="72" r="F75"/>
    </row>
    <row r="76">
      <c t="s" s="96" r="A76">
        <v>102</v>
      </c>
      <c t="s" s="142" r="B76">
        <v>103</v>
      </c>
      <c s="106" r="C76">
        <v>400</v>
      </c>
      <c s="2" r="D76"/>
      <c s="223" r="E76"/>
      <c s="72" r="F76"/>
    </row>
    <row r="77">
      <c t="s" s="96" r="A77">
        <v>104</v>
      </c>
      <c t="s" s="142" r="B77">
        <v>105</v>
      </c>
      <c s="106" r="C77">
        <v>2500</v>
      </c>
      <c s="2" r="D77"/>
      <c s="223" r="E77"/>
      <c s="72" r="F77"/>
    </row>
    <row r="78">
      <c t="s" s="96" r="A78">
        <v>106</v>
      </c>
      <c t="s" s="142" r="B78">
        <v>107</v>
      </c>
      <c s="106" r="C78">
        <v>10000</v>
      </c>
      <c s="2" r="D78"/>
      <c s="223" r="E78"/>
      <c s="72" r="F78"/>
    </row>
    <row customHeight="1" r="79" ht="27.75">
      <c t="s" s="96" r="A79">
        <v>108</v>
      </c>
      <c t="s" s="142" r="B79">
        <v>109</v>
      </c>
      <c s="106" r="C79">
        <v>7500</v>
      </c>
      <c s="2" r="D79"/>
      <c s="223" r="E79"/>
      <c s="72" r="F79"/>
    </row>
    <row r="80">
      <c t="s" s="96" r="A80">
        <v>110</v>
      </c>
      <c t="s" s="142" r="B80">
        <v>111</v>
      </c>
      <c s="106" r="C80">
        <v>750</v>
      </c>
      <c s="2" r="D80"/>
      <c s="223" r="E80"/>
      <c s="72" r="F80"/>
    </row>
    <row r="81">
      <c s="332" r="A81"/>
      <c s="232" r="B81"/>
      <c s="232" r="C81"/>
      <c s="232" r="D81"/>
      <c s="4" r="E81"/>
      <c s="72" r="F81"/>
    </row>
    <row r="82">
      <c s="195" r="A82"/>
      <c s="195" r="B82"/>
      <c s="195" r="C82"/>
      <c s="195" r="D82"/>
      <c s="195" r="E82"/>
      <c s="61" r="F82"/>
    </row>
    <row customHeight="1" r="83" ht="18.0">
      <c t="s" s="135" r="A83">
        <v>112</v>
      </c>
      <c s="324" r="B83"/>
      <c s="324" r="C83"/>
      <c s="324" r="D83"/>
      <c s="176" r="E83"/>
      <c s="72" r="F83"/>
    </row>
    <row r="84">
      <c t="s" s="31" r="A84">
        <v>23</v>
      </c>
      <c t="s" s="239" r="B84">
        <v>113</v>
      </c>
      <c t="s" s="239" r="C84">
        <v>57</v>
      </c>
      <c s="239" r="D84"/>
      <c s="429" r="E84"/>
      <c s="72" r="F84"/>
    </row>
    <row r="85">
      <c t="s" s="3" r="A85">
        <v>114</v>
      </c>
      <c t="s" s="390" r="B85">
        <v>115</v>
      </c>
      <c t="s" s="8" r="C85">
        <v>84</v>
      </c>
      <c s="55" r="D85"/>
      <c s="366" r="E85"/>
      <c s="72" r="F85"/>
    </row>
    <row r="86">
      <c t="s" s="96" r="A86">
        <v>116</v>
      </c>
      <c t="s" s="391" r="B86">
        <v>117</v>
      </c>
      <c t="s" s="40" r="C86">
        <v>84</v>
      </c>
      <c s="421" r="D86"/>
      <c s="223" r="E86"/>
      <c s="72" r="F86"/>
    </row>
    <row customHeight="1" r="87" ht="27.75">
      <c t="s" s="96" r="A87">
        <v>118</v>
      </c>
      <c t="s" s="391" r="B87">
        <v>119</v>
      </c>
      <c t="s" s="40" r="C87">
        <v>84</v>
      </c>
      <c s="421" r="D87"/>
      <c s="223" r="E87"/>
      <c s="72" r="F87"/>
    </row>
    <row r="88">
      <c t="s" s="96" r="A88">
        <v>120</v>
      </c>
      <c t="s" s="391" r="B88">
        <v>121</v>
      </c>
      <c t="s" s="40" r="C88">
        <v>84</v>
      </c>
      <c s="421" r="D88"/>
      <c s="223" r="E88"/>
      <c s="72" r="F88"/>
    </row>
    <row r="89">
      <c t="s" s="96" r="A89">
        <v>122</v>
      </c>
      <c t="s" s="391" r="B89">
        <v>123</v>
      </c>
      <c t="s" s="40" r="C89">
        <v>84</v>
      </c>
      <c s="421" r="D89"/>
      <c s="223" r="E89"/>
      <c s="72" r="F89"/>
    </row>
    <row r="90">
      <c t="s" s="96" r="A90">
        <v>124</v>
      </c>
      <c t="s" s="391" r="B90">
        <v>125</v>
      </c>
      <c t="s" s="40" r="C90">
        <v>84</v>
      </c>
      <c s="421" r="D90"/>
      <c s="223" r="E90"/>
      <c s="72" r="F90"/>
    </row>
    <row r="91">
      <c t="s" s="96" r="A91">
        <v>126</v>
      </c>
      <c t="s" s="391" r="B91">
        <v>127</v>
      </c>
      <c t="s" s="40" r="C91">
        <v>84</v>
      </c>
      <c s="421" r="D91"/>
      <c s="223" r="E91"/>
      <c s="72" r="F91"/>
    </row>
    <row r="92">
      <c t="s" s="96" r="A92">
        <v>128</v>
      </c>
      <c t="s" s="391" r="B92">
        <v>129</v>
      </c>
      <c t="s" s="40" r="C92">
        <v>84</v>
      </c>
      <c s="421" r="D92"/>
      <c s="223" r="E92"/>
      <c s="72" r="F92"/>
    </row>
    <row r="93">
      <c t="s" s="96" r="A93">
        <v>130</v>
      </c>
      <c t="s" s="391" r="B93">
        <v>131</v>
      </c>
      <c t="s" s="40" r="C93">
        <v>84</v>
      </c>
      <c s="421" r="D93"/>
      <c s="223" r="E93"/>
      <c s="72" r="F93"/>
    </row>
    <row r="94">
      <c t="s" s="96" r="A94">
        <v>132</v>
      </c>
      <c t="s" s="391" r="B94">
        <v>133</v>
      </c>
      <c t="s" s="40" r="C94">
        <v>84</v>
      </c>
      <c s="421" r="D94"/>
      <c s="223" r="E94"/>
      <c s="72" r="F94"/>
    </row>
    <row r="95">
      <c t="s" s="96" r="A95">
        <v>134</v>
      </c>
      <c t="s" s="391" r="B95">
        <v>135</v>
      </c>
      <c t="s" s="40" r="C95">
        <v>84</v>
      </c>
      <c s="421" r="D95"/>
      <c s="223" r="E95"/>
      <c s="72" r="F95"/>
    </row>
    <row r="96">
      <c t="s" s="96" r="A96">
        <v>136</v>
      </c>
      <c t="s" s="391" r="B96">
        <v>137</v>
      </c>
      <c t="s" s="40" r="C96">
        <v>84</v>
      </c>
      <c s="421" r="D96"/>
      <c s="223" r="E96"/>
      <c s="72" r="F96"/>
    </row>
    <row customHeight="1" r="97" ht="27.75">
      <c t="s" s="96" r="A97">
        <v>138</v>
      </c>
      <c t="s" s="391" r="B97">
        <v>139</v>
      </c>
      <c t="s" s="40" r="C97">
        <v>84</v>
      </c>
      <c s="421" r="D97"/>
      <c s="223" r="E97"/>
      <c s="72" r="F97"/>
    </row>
    <row r="98">
      <c s="96" r="A98"/>
      <c s="391" r="B98"/>
      <c s="40" r="C98"/>
      <c s="421" r="D98"/>
      <c s="223" r="E98"/>
      <c s="72" r="F98"/>
    </row>
    <row r="99">
      <c t="s" s="96" r="A99">
        <v>140</v>
      </c>
      <c t="s" s="142" r="B99">
        <v>141</v>
      </c>
      <c t="s" s="40" r="C99">
        <v>84</v>
      </c>
      <c s="142" r="D99"/>
      <c s="247" r="E99"/>
      <c s="72" r="F99"/>
    </row>
    <row r="100">
      <c t="s" s="96" r="A100">
        <v>142</v>
      </c>
      <c t="s" s="142" r="B100">
        <v>143</v>
      </c>
      <c t="s" s="40" r="C100">
        <v>84</v>
      </c>
      <c s="142" r="D100"/>
      <c s="247" r="E100"/>
      <c s="72" r="F100"/>
    </row>
    <row r="101">
      <c t="s" s="96" r="A101">
        <v>144</v>
      </c>
      <c t="s" s="142" r="B101">
        <v>145</v>
      </c>
      <c t="s" s="40" r="C101">
        <v>84</v>
      </c>
      <c s="142" r="D101"/>
      <c s="247" r="E101"/>
      <c s="72" r="F101"/>
    </row>
    <row r="102">
      <c s="96" r="A102"/>
      <c s="142" r="B102"/>
      <c s="40" r="C102"/>
      <c s="142" r="D102"/>
      <c s="247" r="E102"/>
      <c s="72" r="F102"/>
    </row>
    <row r="103">
      <c t="s" s="96" r="A103">
        <v>146</v>
      </c>
      <c t="s" s="391" r="B103">
        <v>147</v>
      </c>
      <c t="s" s="40" r="C103">
        <v>84</v>
      </c>
      <c s="142" r="D103"/>
      <c s="247" r="E103"/>
      <c s="72" r="F103"/>
    </row>
    <row r="104">
      <c s="332" r="A104"/>
      <c s="232" r="B104"/>
      <c s="232" r="C104"/>
      <c s="232" r="D104"/>
      <c s="4" r="E104"/>
      <c s="72" r="F104"/>
    </row>
    <row r="105">
      <c s="56" r="A105"/>
      <c s="56" r="B105"/>
      <c s="56" r="C105"/>
      <c s="56" r="D105"/>
      <c s="56" r="E105"/>
      <c s="61" r="F105"/>
    </row>
    <row r="106">
      <c s="61" r="A106"/>
      <c s="61" r="B106"/>
      <c s="61" r="C106"/>
      <c s="61" r="D106"/>
      <c s="61" r="E106"/>
      <c s="61" r="F106"/>
    </row>
    <row r="107">
      <c s="411" r="A107"/>
      <c s="411" r="B107"/>
      <c s="411" r="C107"/>
      <c s="411" r="D107"/>
      <c s="411" r="E107"/>
      <c s="61" r="F107"/>
    </row>
    <row customHeight="1" r="108" ht="18.0">
      <c t="s" s="135" r="A108">
        <v>148</v>
      </c>
      <c s="324" r="B108"/>
      <c s="324" r="C108"/>
      <c s="324" r="D108"/>
      <c s="176" r="E108"/>
      <c s="72" r="F108"/>
    </row>
    <row r="109">
      <c s="56" r="A109"/>
      <c s="56" r="B109"/>
      <c s="56" r="C109"/>
      <c s="56" r="D109"/>
      <c s="56" r="E109"/>
      <c s="142" r="F109"/>
    </row>
    <row r="110">
      <c s="142" r="A110"/>
      <c s="142" r="B110"/>
      <c s="142" r="C110"/>
      <c s="142" r="D110"/>
      <c s="142" r="E110"/>
      <c s="142" r="F110"/>
    </row>
    <row r="111">
      <c s="142" r="A111"/>
      <c s="142" r="B111"/>
      <c s="142" r="C111"/>
      <c s="142" r="D111"/>
      <c s="142" r="E111"/>
      <c s="142" r="F111"/>
    </row>
    <row r="112">
      <c s="142" r="A112"/>
      <c s="142" r="B112"/>
      <c s="142" r="C112"/>
      <c s="142" r="D112"/>
      <c s="142" r="E112"/>
      <c s="142" r="F112"/>
    </row>
    <row r="113">
      <c s="142" r="A113"/>
      <c s="142" r="B113"/>
      <c s="142" r="C113"/>
      <c s="142" r="D113"/>
      <c s="142" r="E113"/>
      <c s="142" r="F113"/>
    </row>
    <row r="114">
      <c s="142" r="A114"/>
      <c s="142" r="B114"/>
      <c s="142" r="C114"/>
      <c s="142" r="D114"/>
      <c s="142" r="E114"/>
      <c s="142" r="F114"/>
    </row>
    <row r="115">
      <c s="142" r="A115"/>
      <c s="142" r="B115"/>
      <c s="142" r="C115"/>
      <c s="142" r="D115"/>
      <c s="142" r="E115"/>
      <c s="142" r="F115"/>
    </row>
    <row r="116">
      <c s="142" r="A116"/>
      <c s="142" r="B116"/>
      <c s="142" r="C116"/>
      <c s="142" r="D116"/>
      <c s="142" r="E116"/>
      <c s="142" r="F116"/>
    </row>
    <row r="117">
      <c s="142" r="A117"/>
      <c s="142" r="B117"/>
      <c s="142" r="C117"/>
      <c s="142" r="D117"/>
      <c s="142" r="E117"/>
      <c s="142" r="F117"/>
    </row>
    <row r="118">
      <c s="142" r="A118"/>
      <c s="142" r="B118"/>
      <c s="142" r="C118"/>
      <c s="142" r="D118"/>
      <c s="142" r="E118"/>
      <c s="142" r="F118"/>
    </row>
    <row r="119">
      <c s="142" r="A119"/>
      <c s="142" r="B119"/>
      <c s="142" r="C119"/>
      <c s="142" r="D119"/>
      <c s="142" r="E119"/>
      <c s="142" r="F119"/>
    </row>
    <row r="120">
      <c s="142" r="A120"/>
      <c s="142" r="B120"/>
      <c s="142" r="C120"/>
      <c s="142" r="D120"/>
      <c s="142" r="E120"/>
      <c s="142" r="F120"/>
    </row>
    <row r="121">
      <c s="142" r="A121"/>
      <c s="142" r="B121"/>
      <c s="142" r="C121"/>
      <c s="142" r="D121"/>
      <c s="142" r="E121"/>
      <c s="142" r="F121"/>
    </row>
    <row r="122">
      <c s="142" r="A122"/>
      <c s="142" r="B122"/>
      <c s="142" r="C122"/>
      <c s="142" r="D122"/>
      <c s="142" r="E122"/>
      <c s="142" r="F122"/>
    </row>
    <row r="123">
      <c s="142" r="A123"/>
      <c s="142" r="B123"/>
      <c s="142" r="C123"/>
      <c s="142" r="D123"/>
      <c s="142" r="E123"/>
      <c s="142" r="F123"/>
    </row>
    <row r="124">
      <c s="142" r="A124"/>
      <c s="142" r="B124"/>
      <c s="142" r="C124"/>
      <c s="142" r="D124"/>
      <c s="142" r="E124"/>
      <c s="142" r="F124"/>
    </row>
    <row r="125">
      <c s="142" r="A125"/>
      <c s="142" r="B125"/>
      <c s="142" r="C125"/>
      <c s="142" r="D125"/>
      <c s="142" r="E125"/>
      <c s="142" r="F125"/>
    </row>
    <row r="126">
      <c s="142" r="A126"/>
      <c s="142" r="B126"/>
      <c s="142" r="C126"/>
      <c s="142" r="D126"/>
      <c s="142" r="E126"/>
      <c s="142" r="F126"/>
    </row>
    <row r="127">
      <c s="142" r="A127"/>
      <c s="142" r="B127"/>
      <c s="142" r="C127"/>
      <c s="142" r="D127"/>
      <c s="142" r="E127"/>
      <c s="142" r="F127"/>
    </row>
    <row r="128">
      <c s="142" r="A128"/>
      <c s="142" r="B128"/>
      <c s="142" r="C128"/>
      <c s="142" r="D128"/>
      <c s="142" r="E128"/>
      <c s="142" r="F128"/>
    </row>
    <row r="129">
      <c s="142" r="A129"/>
      <c s="142" r="B129"/>
      <c s="142" r="C129"/>
      <c s="142" r="D129"/>
      <c s="142" r="E129"/>
      <c s="142" r="F129"/>
    </row>
    <row r="130">
      <c s="142" r="A130"/>
      <c s="142" r="B130"/>
      <c s="142" r="C130"/>
      <c s="142" r="D130"/>
      <c s="142" r="E130"/>
      <c s="142" r="F130"/>
    </row>
    <row r="131">
      <c s="142" r="A131"/>
      <c s="142" r="B131"/>
      <c s="142" r="C131"/>
      <c s="142" r="D131"/>
      <c s="142" r="E131"/>
      <c s="142" r="F131"/>
    </row>
    <row r="132">
      <c s="142" r="A132"/>
      <c s="142" r="B132"/>
      <c s="142" r="C132"/>
      <c s="142" r="D132"/>
      <c s="142" r="E132"/>
      <c s="142" r="F132"/>
    </row>
    <row r="133">
      <c s="142" r="A133"/>
      <c s="142" r="B133"/>
      <c s="142" r="C133"/>
      <c s="142" r="D133"/>
      <c s="142" r="E133"/>
      <c s="142" r="F133"/>
    </row>
    <row r="134">
      <c s="142" r="A134"/>
      <c s="142" r="B134"/>
      <c s="142" r="C134"/>
      <c s="142" r="D134"/>
      <c s="142" r="E134"/>
      <c s="142" r="F134"/>
    </row>
    <row r="135">
      <c s="142" r="A135"/>
      <c s="142" r="B135"/>
      <c s="142" r="C135"/>
      <c s="142" r="D135"/>
      <c s="142" r="E135"/>
      <c s="142" r="F135"/>
    </row>
    <row r="136">
      <c s="142" r="A136"/>
      <c s="142" r="B136"/>
      <c s="142" r="C136"/>
      <c s="142" r="D136"/>
      <c s="142" r="E136"/>
      <c s="142" r="F136"/>
    </row>
  </sheetData>
  <mergeCells count="13">
    <mergeCell ref="A2:E2"/>
    <mergeCell ref="A3:E3"/>
    <mergeCell ref="A5:E5"/>
    <mergeCell ref="A13:E13"/>
    <mergeCell ref="A21:E21"/>
    <mergeCell ref="A29:E29"/>
    <mergeCell ref="A37:E37"/>
    <mergeCell ref="A46:E46"/>
    <mergeCell ref="A52:E52"/>
    <mergeCell ref="A63:E63"/>
    <mergeCell ref="A73:E73"/>
    <mergeCell ref="A83:E83"/>
    <mergeCell ref="A108:E108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35.14" defaultRowHeight="13.5"/>
  <cols>
    <col min="1" customWidth="1" max="4" style="142" width="29.57"/>
    <col min="5" customWidth="1" max="5" style="142" width="42.14"/>
    <col min="6" customWidth="1" max="6" style="142" width="29.57"/>
    <col min="7" customWidth="1" max="7" style="142" width="28.71"/>
    <col min="8" customWidth="1" max="8" style="142" width="52.71"/>
    <col min="9" max="10" style="142" width="34.43"/>
  </cols>
  <sheetData>
    <row r="1">
      <c s="411" r="A1"/>
      <c s="411" r="B1"/>
      <c s="411" r="C1"/>
      <c s="411" r="D1"/>
      <c s="411" r="E1"/>
      <c s="411" r="F1"/>
      <c s="411" r="G1"/>
      <c s="411" r="H1"/>
      <c s="411" r="I1"/>
      <c s="411" r="J1"/>
    </row>
    <row customHeight="1" r="2" ht="18.0">
      <c t="s" s="325" r="A2">
        <v>149</v>
      </c>
      <c s="244" r="B2"/>
      <c s="244" r="C2"/>
      <c s="244" r="D2"/>
      <c s="244" r="E2"/>
      <c s="244" r="F2"/>
      <c s="244" r="G2"/>
      <c s="244" r="H2"/>
      <c s="244" r="I2"/>
      <c s="161" r="J2"/>
    </row>
    <row r="3">
      <c t="s" s="382" r="A3">
        <v>0</v>
      </c>
      <c t="s" s="215" r="B3">
        <v>1</v>
      </c>
      <c t="s" s="215" r="C3">
        <v>2</v>
      </c>
      <c t="s" s="215" r="D3">
        <v>3</v>
      </c>
      <c t="s" s="215" r="E3">
        <v>4</v>
      </c>
      <c t="s" s="215" r="F3">
        <v>5</v>
      </c>
      <c t="s" s="215" r="G3">
        <v>6</v>
      </c>
      <c t="s" s="215" r="H3">
        <v>7</v>
      </c>
      <c t="s" s="215" r="I3">
        <v>8</v>
      </c>
      <c t="s" s="314" r="J3">
        <v>23</v>
      </c>
    </row>
    <row customHeight="1" r="4" ht="15.75">
      <c t="s" s="32" r="A4">
        <v>150</v>
      </c>
      <c s="440" r="B4"/>
      <c s="440" r="C4"/>
      <c s="440" r="D4"/>
      <c s="440" r="E4"/>
      <c s="440" r="F4"/>
      <c s="440" r="G4"/>
      <c s="440" r="H4"/>
      <c s="440" r="I4"/>
      <c s="84" r="J4"/>
    </row>
    <row customHeight="1" r="5" ht="15.75">
      <c t="s" s="152" r="A5">
        <v>151</v>
      </c>
      <c s="352" r="B5"/>
      <c s="352" r="C5"/>
      <c s="352" r="D5"/>
      <c s="352" r="E5"/>
      <c s="352" r="F5"/>
      <c s="352" r="G5"/>
      <c s="352" r="H5"/>
      <c s="352" r="I5"/>
      <c s="378" r="J5"/>
    </row>
    <row customHeight="1" r="6" ht="15.0">
      <c t="s" s="56" r="A6">
        <v>152</v>
      </c>
      <c t="s" s="56" r="B6">
        <v>153</v>
      </c>
      <c t="s" s="56" r="C6">
        <v>154</v>
      </c>
      <c t="s" s="56" r="D6">
        <v>155</v>
      </c>
      <c t="s" s="56" r="E6">
        <v>156</v>
      </c>
      <c t="s" s="56" r="F6">
        <v>157</v>
      </c>
      <c t="s" s="56" r="G6">
        <v>158</v>
      </c>
      <c t="s" s="56" r="H6">
        <v>159</v>
      </c>
      <c s="157" r="I6">
        <v>0.1225</v>
      </c>
      <c s="263" r="J6"/>
    </row>
    <row customHeight="1" r="7" ht="15.0">
      <c t="s" s="142" r="A7">
        <v>152</v>
      </c>
      <c t="s" s="142" r="B7">
        <v>153</v>
      </c>
      <c t="s" s="142" r="C7">
        <v>154</v>
      </c>
      <c t="s" s="142" r="D7">
        <v>155</v>
      </c>
      <c t="s" s="142" r="E7">
        <v>160</v>
      </c>
      <c t="s" s="142" r="F7">
        <v>157</v>
      </c>
      <c t="s" s="142" r="G7">
        <v>158</v>
      </c>
      <c t="s" s="142" r="H7">
        <v>161</v>
      </c>
      <c s="5" r="I7">
        <v>0.245</v>
      </c>
      <c s="61" r="J7"/>
    </row>
    <row customHeight="1" r="8" ht="15.0">
      <c t="s" s="142" r="A8">
        <v>152</v>
      </c>
      <c t="s" s="142" r="B8">
        <v>153</v>
      </c>
      <c t="s" s="142" r="C8">
        <v>154</v>
      </c>
      <c t="s" s="142" r="D8">
        <v>155</v>
      </c>
      <c t="s" s="142" r="E8">
        <v>162</v>
      </c>
      <c t="s" s="142" r="F8">
        <v>157</v>
      </c>
      <c t="s" s="142" r="G8">
        <v>158</v>
      </c>
      <c t="s" s="142" r="H8">
        <v>163</v>
      </c>
      <c s="5" r="I8">
        <v>0.49</v>
      </c>
      <c s="61" r="J8"/>
    </row>
    <row customHeight="1" r="9" ht="15.0">
      <c t="s" s="142" r="A9">
        <v>152</v>
      </c>
      <c t="s" s="142" r="B9">
        <v>153</v>
      </c>
      <c t="s" s="142" r="C9">
        <v>154</v>
      </c>
      <c t="s" s="142" r="D9">
        <v>155</v>
      </c>
      <c t="s" s="142" r="E9">
        <v>164</v>
      </c>
      <c t="s" s="142" r="F9">
        <v>157</v>
      </c>
      <c t="s" s="142" r="G9">
        <v>158</v>
      </c>
      <c t="s" s="142" r="H9">
        <v>165</v>
      </c>
      <c s="5" r="I9">
        <v>0.98</v>
      </c>
      <c s="61" r="J9"/>
    </row>
    <row customHeight="1" r="10" ht="15.0">
      <c t="s" s="142" r="A10">
        <v>152</v>
      </c>
      <c t="s" s="142" r="B10">
        <v>153</v>
      </c>
      <c t="s" s="142" r="C10">
        <v>154</v>
      </c>
      <c t="s" s="142" r="D10">
        <v>155</v>
      </c>
      <c t="s" s="142" r="E10">
        <v>166</v>
      </c>
      <c t="s" s="142" r="F10">
        <v>157</v>
      </c>
      <c t="s" s="142" r="G10">
        <v>158</v>
      </c>
      <c t="s" s="142" r="H10">
        <v>167</v>
      </c>
      <c s="5" r="I10">
        <v>0.18375</v>
      </c>
      <c s="61" r="J10"/>
    </row>
    <row customHeight="1" r="11" ht="15.0">
      <c t="s" s="142" r="A11">
        <v>152</v>
      </c>
      <c t="s" s="142" r="B11">
        <v>153</v>
      </c>
      <c t="s" s="142" r="C11">
        <v>154</v>
      </c>
      <c t="s" s="142" r="D11">
        <v>155</v>
      </c>
      <c t="s" s="142" r="E11">
        <v>168</v>
      </c>
      <c t="s" s="142" r="F11">
        <v>157</v>
      </c>
      <c t="s" s="142" r="G11">
        <v>158</v>
      </c>
      <c t="s" s="142" r="H11">
        <v>169</v>
      </c>
      <c s="5" r="I11">
        <v>1.47</v>
      </c>
      <c s="61" r="J11"/>
    </row>
    <row customHeight="1" r="12" ht="15.0">
      <c t="s" s="142" r="A12">
        <v>152</v>
      </c>
      <c t="s" s="142" r="B12">
        <v>153</v>
      </c>
      <c t="s" s="142" r="C12">
        <v>154</v>
      </c>
      <c t="s" s="142" r="D12">
        <v>155</v>
      </c>
      <c t="s" s="142" r="E12">
        <v>170</v>
      </c>
      <c t="s" s="142" r="F12">
        <v>157</v>
      </c>
      <c t="s" s="142" r="G12">
        <v>158</v>
      </c>
      <c t="s" s="142" r="H12">
        <v>171</v>
      </c>
      <c s="5" r="I12">
        <v>2.94</v>
      </c>
      <c s="61" r="J12"/>
    </row>
    <row customHeight="1" r="13" ht="15.0">
      <c t="s" s="142" r="A13">
        <v>152</v>
      </c>
      <c t="s" s="142" r="B13">
        <v>153</v>
      </c>
      <c t="s" s="142" r="C13">
        <v>154</v>
      </c>
      <c t="s" s="142" r="D13">
        <v>155</v>
      </c>
      <c t="s" s="142" r="E13">
        <v>172</v>
      </c>
      <c t="s" s="142" r="F13">
        <v>157</v>
      </c>
      <c t="s" s="142" r="G13">
        <v>158</v>
      </c>
      <c t="s" s="142" r="H13">
        <v>173</v>
      </c>
      <c s="5" r="I13">
        <v>8.05</v>
      </c>
      <c s="61" r="J13"/>
    </row>
    <row customHeight="1" r="14" ht="15.0">
      <c t="s" s="142" r="A14">
        <v>174</v>
      </c>
      <c t="s" s="142" r="B14">
        <v>153</v>
      </c>
      <c t="s" s="142" r="C14">
        <v>154</v>
      </c>
      <c t="s" s="142" r="D14">
        <v>155</v>
      </c>
      <c t="s" s="142" r="E14">
        <v>156</v>
      </c>
      <c t="s" s="142" r="F14">
        <v>157</v>
      </c>
      <c t="s" s="142" r="G14">
        <v>158</v>
      </c>
      <c t="s" s="142" r="H14">
        <v>175</v>
      </c>
      <c s="5" r="I14">
        <v>0.1225</v>
      </c>
      <c s="61" r="J14"/>
    </row>
    <row customHeight="1" r="15" ht="15.0">
      <c t="s" s="142" r="A15">
        <v>174</v>
      </c>
      <c t="s" s="142" r="B15">
        <v>153</v>
      </c>
      <c t="s" s="142" r="C15">
        <v>154</v>
      </c>
      <c t="s" s="142" r="D15">
        <v>155</v>
      </c>
      <c t="s" s="142" r="E15">
        <v>160</v>
      </c>
      <c t="s" s="142" r="F15">
        <v>157</v>
      </c>
      <c t="s" s="142" r="G15">
        <v>158</v>
      </c>
      <c t="s" s="142" r="H15">
        <v>176</v>
      </c>
      <c s="5" r="I15">
        <v>0.245</v>
      </c>
      <c s="61" r="J15"/>
    </row>
    <row customHeight="1" r="16" ht="15.0">
      <c t="s" s="142" r="A16">
        <v>174</v>
      </c>
      <c t="s" s="142" r="B16">
        <v>153</v>
      </c>
      <c t="s" s="142" r="C16">
        <v>154</v>
      </c>
      <c t="s" s="142" r="D16">
        <v>155</v>
      </c>
      <c t="s" s="142" r="E16">
        <v>162</v>
      </c>
      <c t="s" s="142" r="F16">
        <v>157</v>
      </c>
      <c t="s" s="142" r="G16">
        <v>158</v>
      </c>
      <c t="s" s="142" r="H16">
        <v>177</v>
      </c>
      <c s="5" r="I16">
        <v>0.49</v>
      </c>
      <c s="61" r="J16"/>
    </row>
    <row customHeight="1" r="17" ht="15.0">
      <c t="s" s="142" r="A17">
        <v>174</v>
      </c>
      <c t="s" s="142" r="B17">
        <v>153</v>
      </c>
      <c t="s" s="142" r="C17">
        <v>154</v>
      </c>
      <c t="s" s="142" r="D17">
        <v>155</v>
      </c>
      <c t="s" s="142" r="E17">
        <v>164</v>
      </c>
      <c t="s" s="142" r="F17">
        <v>157</v>
      </c>
      <c t="s" s="142" r="G17">
        <v>158</v>
      </c>
      <c t="s" s="142" r="H17">
        <v>178</v>
      </c>
      <c s="5" r="I17">
        <v>0.98</v>
      </c>
      <c s="61" r="J17"/>
    </row>
    <row customHeight="1" r="18" ht="15.0">
      <c t="s" s="142" r="A18">
        <v>174</v>
      </c>
      <c t="s" s="142" r="B18">
        <v>153</v>
      </c>
      <c t="s" s="142" r="C18">
        <v>154</v>
      </c>
      <c t="s" s="142" r="D18">
        <v>155</v>
      </c>
      <c t="s" s="142" r="E18">
        <v>166</v>
      </c>
      <c t="s" s="142" r="F18">
        <v>157</v>
      </c>
      <c t="s" s="142" r="G18">
        <v>158</v>
      </c>
      <c t="s" s="142" r="H18">
        <v>179</v>
      </c>
      <c s="5" r="I18">
        <v>0.18375</v>
      </c>
      <c s="61" r="J18"/>
    </row>
    <row customHeight="1" r="19" ht="15.0">
      <c t="s" s="142" r="A19">
        <v>174</v>
      </c>
      <c t="s" s="142" r="B19">
        <v>153</v>
      </c>
      <c t="s" s="142" r="C19">
        <v>154</v>
      </c>
      <c t="s" s="142" r="D19">
        <v>155</v>
      </c>
      <c t="s" s="142" r="E19">
        <v>168</v>
      </c>
      <c t="s" s="142" r="F19">
        <v>157</v>
      </c>
      <c t="s" s="142" r="G19">
        <v>158</v>
      </c>
      <c t="s" s="142" r="H19">
        <v>180</v>
      </c>
      <c s="5" r="I19">
        <v>1.47</v>
      </c>
      <c s="61" r="J19"/>
    </row>
    <row customHeight="1" r="20" ht="15.0">
      <c t="s" s="142" r="A20">
        <v>174</v>
      </c>
      <c t="s" s="142" r="B20">
        <v>153</v>
      </c>
      <c t="s" s="142" r="C20">
        <v>154</v>
      </c>
      <c t="s" s="142" r="D20">
        <v>155</v>
      </c>
      <c t="s" s="142" r="E20">
        <v>170</v>
      </c>
      <c t="s" s="142" r="F20">
        <v>157</v>
      </c>
      <c t="s" s="142" r="G20">
        <v>158</v>
      </c>
      <c t="s" s="142" r="H20">
        <v>181</v>
      </c>
      <c s="5" r="I20">
        <v>2.94</v>
      </c>
      <c s="61" r="J20"/>
    </row>
    <row customHeight="1" r="21" ht="15.0">
      <c t="s" s="142" r="A21">
        <v>174</v>
      </c>
      <c t="s" s="142" r="B21">
        <v>153</v>
      </c>
      <c t="s" s="142" r="C21">
        <v>154</v>
      </c>
      <c t="s" s="142" r="D21">
        <v>155</v>
      </c>
      <c t="s" s="142" r="E21">
        <v>172</v>
      </c>
      <c t="s" s="142" r="F21">
        <v>157</v>
      </c>
      <c t="s" s="142" r="G21">
        <v>158</v>
      </c>
      <c t="s" s="142" r="H21">
        <v>182</v>
      </c>
      <c s="5" r="I21">
        <v>8.05</v>
      </c>
      <c s="61" r="J21"/>
    </row>
    <row customHeight="1" r="22" ht="15.0">
      <c s="142" r="A22"/>
      <c s="142" r="B22"/>
      <c s="142" r="C22"/>
      <c s="142" r="D22"/>
      <c s="142" r="E22"/>
      <c s="142" r="F22"/>
      <c s="142" r="G22"/>
      <c s="142" r="H22"/>
      <c s="5" r="I22"/>
      <c s="61" r="J22"/>
    </row>
    <row customHeight="1" r="23" ht="15.0">
      <c s="142" r="A23"/>
      <c s="142" r="B23"/>
      <c s="142" r="C23"/>
      <c s="142" r="D23"/>
      <c s="142" r="E23"/>
      <c s="142" r="F23"/>
      <c s="142" r="G23"/>
      <c s="142" r="H23"/>
      <c s="5" r="I23"/>
      <c s="61" r="J23"/>
    </row>
    <row customHeight="1" r="24" ht="15.0">
      <c s="142" r="A24"/>
      <c s="142" r="B24"/>
      <c s="142" r="C24"/>
      <c s="142" r="D24"/>
      <c s="142" r="E24"/>
      <c s="142" r="F24"/>
      <c s="142" r="G24"/>
      <c s="142" r="H24"/>
      <c s="5" r="I24"/>
      <c s="61" r="J24"/>
    </row>
    <row customHeight="1" r="25" ht="15.0">
      <c s="142" r="A25"/>
      <c s="142" r="B25"/>
      <c s="142" r="C25"/>
      <c s="142" r="D25"/>
      <c s="61" r="E25"/>
      <c s="142" r="F25"/>
      <c s="142" r="G25"/>
      <c s="142" r="H25"/>
      <c s="5" r="I25"/>
      <c s="61" r="J25"/>
    </row>
    <row r="26">
      <c s="411" r="A26"/>
      <c s="411" r="B26"/>
      <c s="411" r="C26"/>
      <c s="411" r="D26"/>
      <c s="411" r="E26"/>
      <c s="411" r="F26"/>
      <c s="411" r="G26"/>
      <c s="411" r="H26"/>
      <c s="411" r="I26"/>
      <c s="411" r="J26"/>
    </row>
    <row r="27">
      <c t="s" s="32" r="A27">
        <v>183</v>
      </c>
      <c s="440" r="B27"/>
      <c s="440" r="C27"/>
      <c s="440" r="D27"/>
      <c s="440" r="E27"/>
      <c s="440" r="F27"/>
      <c s="440" r="G27"/>
      <c s="440" r="H27"/>
      <c s="440" r="I27"/>
      <c s="84" r="J27"/>
    </row>
    <row r="28">
      <c t="s" s="152" r="A28">
        <v>151</v>
      </c>
      <c s="352" r="B28"/>
      <c s="352" r="C28"/>
      <c s="352" r="D28"/>
      <c s="352" r="E28"/>
      <c s="352" r="F28"/>
      <c s="352" r="G28"/>
      <c s="352" r="H28"/>
      <c s="352" r="I28"/>
      <c s="378" r="J28"/>
    </row>
    <row customHeight="1" r="29" ht="15.0">
      <c t="s" s="56" r="A29">
        <v>152</v>
      </c>
      <c t="s" s="56" r="B29">
        <v>153</v>
      </c>
      <c t="s" s="56" r="C29">
        <v>154</v>
      </c>
      <c t="s" s="56" r="D29">
        <v>155</v>
      </c>
      <c t="s" s="56" r="E29">
        <v>156</v>
      </c>
      <c t="s" s="56" r="F29">
        <v>157</v>
      </c>
      <c t="s" s="56" r="G29">
        <v>158</v>
      </c>
      <c t="s" s="56" r="H29">
        <v>184</v>
      </c>
      <c s="157" r="I29">
        <v>0.2275</v>
      </c>
      <c s="263" r="J29"/>
    </row>
    <row customHeight="1" r="30" ht="15.0">
      <c t="s" s="142" r="A30">
        <v>152</v>
      </c>
      <c t="s" s="142" r="B30">
        <v>153</v>
      </c>
      <c t="s" s="142" r="C30">
        <v>154</v>
      </c>
      <c t="s" s="142" r="D30">
        <v>155</v>
      </c>
      <c t="s" s="142" r="E30">
        <v>160</v>
      </c>
      <c t="s" s="142" r="F30">
        <v>157</v>
      </c>
      <c t="s" s="142" r="G30">
        <v>158</v>
      </c>
      <c t="s" s="142" r="H30">
        <v>185</v>
      </c>
      <c s="5" r="I30">
        <v>0.35</v>
      </c>
      <c s="61" r="J30"/>
    </row>
    <row customHeight="1" r="31" ht="15.0">
      <c t="s" s="142" r="A31">
        <v>152</v>
      </c>
      <c t="s" s="142" r="B31">
        <v>153</v>
      </c>
      <c t="s" s="142" r="C31">
        <v>154</v>
      </c>
      <c t="s" s="142" r="D31">
        <v>155</v>
      </c>
      <c t="s" s="142" r="E31">
        <v>162</v>
      </c>
      <c t="s" s="142" r="F31">
        <v>157</v>
      </c>
      <c t="s" s="142" r="G31">
        <v>158</v>
      </c>
      <c t="s" s="142" r="H31">
        <v>186</v>
      </c>
      <c s="5" r="I31">
        <v>0.595</v>
      </c>
      <c s="61" r="J31"/>
    </row>
    <row customHeight="1" r="32" ht="15.0">
      <c t="s" s="142" r="A32">
        <v>152</v>
      </c>
      <c t="s" s="142" r="B32">
        <v>153</v>
      </c>
      <c t="s" s="142" r="C32">
        <v>154</v>
      </c>
      <c t="s" s="142" r="D32">
        <v>155</v>
      </c>
      <c t="s" s="142" r="E32">
        <v>164</v>
      </c>
      <c t="s" s="142" r="F32">
        <v>157</v>
      </c>
      <c t="s" s="142" r="G32">
        <v>158</v>
      </c>
      <c t="s" s="142" r="H32">
        <v>187</v>
      </c>
      <c s="5" r="I32">
        <v>1.2075</v>
      </c>
      <c s="61" r="J32"/>
    </row>
    <row customHeight="1" r="33" ht="15.0">
      <c t="s" s="142" r="A33">
        <v>152</v>
      </c>
      <c t="s" s="142" r="B33">
        <v>153</v>
      </c>
      <c t="s" s="142" r="C33">
        <v>154</v>
      </c>
      <c t="s" s="142" r="D33">
        <v>155</v>
      </c>
      <c t="s" s="142" r="E33">
        <v>166</v>
      </c>
      <c t="s" s="142" r="F33">
        <v>157</v>
      </c>
      <c t="s" s="142" r="G33">
        <v>158</v>
      </c>
      <c t="s" s="142" r="H33">
        <v>188</v>
      </c>
      <c s="5" r="I33">
        <v>0.28875</v>
      </c>
      <c s="61" r="J33"/>
    </row>
    <row customHeight="1" r="34" ht="15.0">
      <c t="s" s="142" r="A34">
        <v>152</v>
      </c>
      <c t="s" s="142" r="B34">
        <v>153</v>
      </c>
      <c t="s" s="142" r="C34">
        <v>154</v>
      </c>
      <c t="s" s="142" r="D34">
        <v>155</v>
      </c>
      <c t="s" s="142" r="E34">
        <v>168</v>
      </c>
      <c t="s" s="142" r="F34">
        <v>157</v>
      </c>
      <c t="s" s="142" r="G34">
        <v>158</v>
      </c>
      <c t="s" s="142" r="H34">
        <v>189</v>
      </c>
      <c s="5" r="I34">
        <v>1.6975</v>
      </c>
      <c s="61" r="J34"/>
    </row>
    <row customHeight="1" r="35" ht="15.0">
      <c t="s" s="142" r="A35">
        <v>152</v>
      </c>
      <c t="s" s="142" r="B35">
        <v>153</v>
      </c>
      <c t="s" s="142" r="C35">
        <v>154</v>
      </c>
      <c t="s" s="142" r="D35">
        <v>155</v>
      </c>
      <c t="s" s="142" r="E35">
        <v>170</v>
      </c>
      <c t="s" s="142" r="F35">
        <v>157</v>
      </c>
      <c t="s" s="142" r="G35">
        <v>158</v>
      </c>
      <c t="s" s="142" r="H35">
        <v>190</v>
      </c>
      <c s="5" r="I35">
        <v>3.168</v>
      </c>
      <c s="61" r="J35"/>
    </row>
    <row customHeight="1" r="36" ht="15.0">
      <c t="s" s="142" r="A36">
        <v>152</v>
      </c>
      <c t="s" s="142" r="B36">
        <v>153</v>
      </c>
      <c t="s" s="142" r="C36">
        <v>154</v>
      </c>
      <c t="s" s="142" r="D36">
        <v>155</v>
      </c>
      <c t="s" s="142" r="E36">
        <v>172</v>
      </c>
      <c t="s" s="142" r="F36">
        <v>157</v>
      </c>
      <c t="s" s="142" r="G36">
        <v>158</v>
      </c>
      <c t="s" s="142" r="H36">
        <v>191</v>
      </c>
      <c s="5" r="I36">
        <v>8.2775</v>
      </c>
      <c s="61" r="J36"/>
    </row>
    <row customHeight="1" r="37" ht="15.0">
      <c t="s" s="142" r="A37">
        <v>174</v>
      </c>
      <c t="s" s="142" r="B37">
        <v>153</v>
      </c>
      <c t="s" s="142" r="C37">
        <v>154</v>
      </c>
      <c t="s" s="142" r="D37">
        <v>155</v>
      </c>
      <c t="s" s="142" r="E37">
        <v>156</v>
      </c>
      <c t="s" s="142" r="F37">
        <v>157</v>
      </c>
      <c t="s" s="142" r="G37">
        <v>158</v>
      </c>
      <c t="s" s="142" r="H37">
        <v>192</v>
      </c>
      <c s="5" r="I37">
        <v>0.2275</v>
      </c>
      <c s="61" r="J37"/>
    </row>
    <row customHeight="1" r="38" ht="15.0">
      <c t="s" s="142" r="A38">
        <v>174</v>
      </c>
      <c t="s" s="142" r="B38">
        <v>153</v>
      </c>
      <c t="s" s="142" r="C38">
        <v>154</v>
      </c>
      <c t="s" s="142" r="D38">
        <v>155</v>
      </c>
      <c t="s" s="142" r="E38">
        <v>160</v>
      </c>
      <c t="s" s="142" r="F38">
        <v>157</v>
      </c>
      <c t="s" s="142" r="G38">
        <v>158</v>
      </c>
      <c t="s" s="142" r="H38">
        <v>193</v>
      </c>
      <c s="5" r="I38">
        <v>0.35</v>
      </c>
      <c s="61" r="J38"/>
    </row>
    <row customHeight="1" r="39" ht="15.0">
      <c t="s" s="142" r="A39">
        <v>174</v>
      </c>
      <c t="s" s="142" r="B39">
        <v>153</v>
      </c>
      <c t="s" s="142" r="C39">
        <v>154</v>
      </c>
      <c t="s" s="142" r="D39">
        <v>155</v>
      </c>
      <c t="s" s="142" r="E39">
        <v>162</v>
      </c>
      <c t="s" s="142" r="F39">
        <v>157</v>
      </c>
      <c t="s" s="142" r="G39">
        <v>158</v>
      </c>
      <c t="s" s="142" r="H39">
        <v>194</v>
      </c>
      <c s="5" r="I39">
        <v>0.595</v>
      </c>
      <c s="61" r="J39"/>
    </row>
    <row customHeight="1" r="40" ht="15.0">
      <c t="s" s="142" r="A40">
        <v>174</v>
      </c>
      <c t="s" s="142" r="B40">
        <v>153</v>
      </c>
      <c t="s" s="142" r="C40">
        <v>154</v>
      </c>
      <c t="s" s="142" r="D40">
        <v>155</v>
      </c>
      <c t="s" s="142" r="E40">
        <v>164</v>
      </c>
      <c t="s" s="142" r="F40">
        <v>157</v>
      </c>
      <c t="s" s="142" r="G40">
        <v>158</v>
      </c>
      <c t="s" s="142" r="H40">
        <v>195</v>
      </c>
      <c s="5" r="I40">
        <v>1.2075</v>
      </c>
      <c s="61" r="J40"/>
    </row>
    <row customHeight="1" r="41" ht="15.0">
      <c t="s" s="142" r="A41">
        <v>174</v>
      </c>
      <c t="s" s="142" r="B41">
        <v>153</v>
      </c>
      <c t="s" s="142" r="C41">
        <v>154</v>
      </c>
      <c t="s" s="142" r="D41">
        <v>155</v>
      </c>
      <c t="s" s="142" r="E41">
        <v>166</v>
      </c>
      <c t="s" s="142" r="F41">
        <v>157</v>
      </c>
      <c t="s" s="142" r="G41">
        <v>158</v>
      </c>
      <c t="s" s="142" r="H41">
        <v>196</v>
      </c>
      <c s="5" r="I41">
        <v>0.28875</v>
      </c>
      <c s="61" r="J41"/>
    </row>
    <row customHeight="1" r="42" ht="15.0">
      <c t="s" s="142" r="A42">
        <v>174</v>
      </c>
      <c t="s" s="142" r="B42">
        <v>153</v>
      </c>
      <c t="s" s="142" r="C42">
        <v>154</v>
      </c>
      <c t="s" s="142" r="D42">
        <v>155</v>
      </c>
      <c t="s" s="142" r="E42">
        <v>168</v>
      </c>
      <c t="s" s="142" r="F42">
        <v>157</v>
      </c>
      <c t="s" s="142" r="G42">
        <v>158</v>
      </c>
      <c t="s" s="142" r="H42">
        <v>197</v>
      </c>
      <c s="5" r="I42">
        <v>1.6975</v>
      </c>
      <c s="61" r="J42"/>
    </row>
    <row customHeight="1" r="43" ht="15.0">
      <c t="s" s="142" r="A43">
        <v>174</v>
      </c>
      <c t="s" s="142" r="B43">
        <v>153</v>
      </c>
      <c t="s" s="142" r="C43">
        <v>154</v>
      </c>
      <c t="s" s="142" r="D43">
        <v>155</v>
      </c>
      <c t="s" s="142" r="E43">
        <v>170</v>
      </c>
      <c t="s" s="142" r="F43">
        <v>157</v>
      </c>
      <c t="s" s="142" r="G43">
        <v>158</v>
      </c>
      <c t="s" s="142" r="H43">
        <v>198</v>
      </c>
      <c s="5" r="I43">
        <v>3.168</v>
      </c>
      <c s="61" r="J43"/>
    </row>
    <row customHeight="1" r="44" ht="15.0">
      <c t="s" s="142" r="A44">
        <v>174</v>
      </c>
      <c t="s" s="142" r="B44">
        <v>153</v>
      </c>
      <c t="s" s="142" r="C44">
        <v>154</v>
      </c>
      <c t="s" s="142" r="D44">
        <v>155</v>
      </c>
      <c t="s" s="142" r="E44">
        <v>172</v>
      </c>
      <c t="s" s="142" r="F44">
        <v>157</v>
      </c>
      <c t="s" s="142" r="G44">
        <v>158</v>
      </c>
      <c t="s" s="142" r="H44">
        <v>199</v>
      </c>
      <c s="5" r="I44">
        <v>8.2775</v>
      </c>
      <c s="61" r="J44"/>
    </row>
    <row customHeight="1" r="45" ht="15.0">
      <c s="142" r="A45"/>
      <c s="142" r="B45"/>
      <c s="142" r="C45"/>
      <c s="142" r="D45"/>
      <c s="142" r="E45"/>
      <c s="142" r="F45"/>
      <c s="142" r="G45"/>
      <c s="142" r="H45"/>
      <c s="5" r="I45"/>
      <c s="61" r="J45"/>
    </row>
    <row customHeight="1" r="46" ht="15.0">
      <c s="142" r="A46"/>
      <c s="142" r="B46"/>
      <c s="142" r="C46"/>
      <c s="142" r="D46"/>
      <c s="142" r="E46"/>
      <c s="142" r="F46"/>
      <c s="142" r="G46"/>
      <c s="142" r="H46"/>
      <c s="5" r="I46"/>
      <c s="61" r="J46"/>
    </row>
    <row customHeight="1" r="47" ht="15.0">
      <c s="142" r="A47"/>
      <c s="142" r="B47"/>
      <c s="142" r="C47"/>
      <c s="142" r="D47"/>
      <c s="142" r="E47"/>
      <c s="142" r="F47"/>
      <c s="142" r="G47"/>
      <c s="142" r="H47"/>
      <c s="5" r="I47"/>
      <c s="61" r="J47"/>
    </row>
    <row customHeight="1" r="48" ht="15.0">
      <c s="142" r="A48"/>
      <c s="142" r="B48"/>
      <c s="142" r="C48"/>
      <c s="142" r="D48"/>
      <c s="61" r="E48"/>
      <c s="142" r="F48"/>
      <c s="142" r="G48"/>
      <c s="142" r="H48"/>
      <c s="5" r="I48"/>
      <c s="61" r="J48"/>
    </row>
    <row r="49">
      <c s="232" r="A49"/>
      <c s="232" r="B49"/>
      <c s="232" r="C49"/>
      <c s="232" r="D49"/>
      <c s="232" r="E49"/>
      <c s="232" r="F49"/>
      <c s="232" r="G49"/>
      <c s="232" r="H49"/>
      <c s="182" r="I49"/>
      <c s="411" r="J49"/>
    </row>
    <row customHeight="1" r="50" ht="15.75">
      <c t="s" s="32" r="A50">
        <v>200</v>
      </c>
      <c s="440" r="B50"/>
      <c s="440" r="C50"/>
      <c s="440" r="D50"/>
      <c s="440" r="E50"/>
      <c s="440" r="F50"/>
      <c s="440" r="G50"/>
      <c s="440" r="H50"/>
      <c s="440" r="I50"/>
      <c s="84" r="J50"/>
    </row>
    <row customHeight="1" r="51" ht="15.75">
      <c t="s" s="152" r="A51">
        <v>151</v>
      </c>
      <c s="352" r="B51"/>
      <c s="352" r="C51"/>
      <c s="352" r="D51"/>
      <c s="352" r="E51"/>
      <c s="352" r="F51"/>
      <c s="352" r="G51"/>
      <c s="352" r="H51"/>
      <c s="352" r="I51"/>
      <c s="378" r="J51"/>
    </row>
    <row customHeight="1" r="52" ht="15.0">
      <c t="s" s="56" r="A52">
        <v>152</v>
      </c>
      <c t="s" s="56" r="B52">
        <v>153</v>
      </c>
      <c t="s" s="56" r="C52">
        <v>154</v>
      </c>
      <c t="s" s="56" r="D52">
        <v>155</v>
      </c>
      <c t="s" s="56" r="E52">
        <v>156</v>
      </c>
      <c t="s" s="56" r="F52">
        <v>157</v>
      </c>
      <c t="s" s="56" r="G52">
        <v>158</v>
      </c>
      <c t="s" s="56" r="H52">
        <v>201</v>
      </c>
      <c s="157" r="I52">
        <v>0.23275</v>
      </c>
      <c s="263" r="J52"/>
    </row>
    <row customHeight="1" r="53" ht="15.0">
      <c t="s" s="142" r="A53">
        <v>152</v>
      </c>
      <c t="s" s="142" r="B53">
        <v>153</v>
      </c>
      <c t="s" s="142" r="C53">
        <v>154</v>
      </c>
      <c t="s" s="142" r="D53">
        <v>155</v>
      </c>
      <c t="s" s="142" r="E53">
        <v>160</v>
      </c>
      <c t="s" s="142" r="F53">
        <v>157</v>
      </c>
      <c t="s" s="142" r="G53">
        <v>158</v>
      </c>
      <c t="s" s="142" r="H53">
        <v>202</v>
      </c>
      <c s="5" r="I53">
        <v>0.4655</v>
      </c>
      <c s="61" r="J53"/>
    </row>
    <row customHeight="1" r="54" ht="15.0">
      <c t="s" s="142" r="A54">
        <v>152</v>
      </c>
      <c t="s" s="142" r="B54">
        <v>153</v>
      </c>
      <c t="s" s="142" r="C54">
        <v>154</v>
      </c>
      <c t="s" s="142" r="D54">
        <v>155</v>
      </c>
      <c t="s" s="142" r="E54">
        <v>162</v>
      </c>
      <c t="s" s="142" r="F54">
        <v>157</v>
      </c>
      <c t="s" s="142" r="G54">
        <v>158</v>
      </c>
      <c t="s" s="142" r="H54">
        <v>203</v>
      </c>
      <c s="5" r="I54">
        <v>0.931</v>
      </c>
      <c s="61" r="J54"/>
    </row>
    <row customHeight="1" r="55" ht="15.0">
      <c t="s" s="142" r="A55">
        <v>152</v>
      </c>
      <c t="s" s="142" r="B55">
        <v>153</v>
      </c>
      <c t="s" s="142" r="C55">
        <v>154</v>
      </c>
      <c t="s" s="142" r="D55">
        <v>155</v>
      </c>
      <c t="s" s="142" r="E55">
        <v>164</v>
      </c>
      <c t="s" s="142" r="F55">
        <v>157</v>
      </c>
      <c t="s" s="142" r="G55">
        <v>158</v>
      </c>
      <c t="s" s="142" r="H55">
        <v>204</v>
      </c>
      <c s="5" r="I55">
        <v>1.862</v>
      </c>
      <c s="61" r="J55"/>
    </row>
    <row customHeight="1" r="56" ht="15.0">
      <c t="s" s="142" r="A56">
        <v>152</v>
      </c>
      <c t="s" s="142" r="B56">
        <v>153</v>
      </c>
      <c t="s" s="142" r="C56">
        <v>154</v>
      </c>
      <c t="s" s="142" r="D56">
        <v>155</v>
      </c>
      <c t="s" s="142" r="E56">
        <v>166</v>
      </c>
      <c t="s" s="142" r="F56">
        <v>157</v>
      </c>
      <c t="s" s="142" r="G56">
        <v>158</v>
      </c>
      <c t="s" s="142" r="H56">
        <v>205</v>
      </c>
      <c s="5" r="I56">
        <v>0.329</v>
      </c>
      <c s="61" r="J56"/>
    </row>
    <row customHeight="1" r="57" ht="15.0">
      <c t="s" s="142" r="A57">
        <v>152</v>
      </c>
      <c t="s" s="142" r="B57">
        <v>153</v>
      </c>
      <c t="s" s="142" r="C57">
        <v>154</v>
      </c>
      <c t="s" s="142" r="D57">
        <v>155</v>
      </c>
      <c t="s" s="142" r="E57">
        <v>168</v>
      </c>
      <c t="s" s="142" r="F57">
        <v>157</v>
      </c>
      <c t="s" s="142" r="G57">
        <v>158</v>
      </c>
      <c t="s" s="142" r="H57">
        <v>206</v>
      </c>
      <c s="5" r="I57">
        <v>2.632</v>
      </c>
      <c s="61" r="J57"/>
    </row>
    <row customHeight="1" r="58" ht="15.0">
      <c t="s" s="142" r="A58">
        <v>152</v>
      </c>
      <c t="s" s="142" r="B58">
        <v>153</v>
      </c>
      <c t="s" s="142" r="C58">
        <v>154</v>
      </c>
      <c t="s" s="142" r="D58">
        <v>155</v>
      </c>
      <c t="s" s="142" r="E58">
        <v>170</v>
      </c>
      <c t="s" s="142" r="F58">
        <v>157</v>
      </c>
      <c t="s" s="142" r="G58">
        <v>158</v>
      </c>
      <c t="s" s="142" r="H58">
        <v>207</v>
      </c>
      <c s="5" r="I58">
        <v>5.264</v>
      </c>
      <c s="61" r="J58"/>
    </row>
    <row customHeight="1" r="59" ht="15.0">
      <c t="s" s="142" r="A59">
        <v>152</v>
      </c>
      <c t="s" s="142" r="B59">
        <v>153</v>
      </c>
      <c t="s" s="142" r="C59">
        <v>154</v>
      </c>
      <c t="s" s="142" r="D59">
        <v>155</v>
      </c>
      <c t="s" s="142" r="E59">
        <v>172</v>
      </c>
      <c t="s" s="142" r="F59">
        <v>157</v>
      </c>
      <c t="s" s="142" r="G59">
        <v>158</v>
      </c>
      <c t="s" s="142" r="H59">
        <v>208</v>
      </c>
      <c s="5" r="I59">
        <v>8.62925</v>
      </c>
      <c s="61" r="J59"/>
    </row>
    <row customHeight="1" r="60" ht="15.0">
      <c t="s" s="142" r="A60">
        <v>174</v>
      </c>
      <c t="s" s="142" r="B60">
        <v>153</v>
      </c>
      <c t="s" s="142" r="C60">
        <v>154</v>
      </c>
      <c t="s" s="142" r="D60">
        <v>155</v>
      </c>
      <c t="s" s="142" r="E60">
        <v>156</v>
      </c>
      <c t="s" s="142" r="F60">
        <v>157</v>
      </c>
      <c t="s" s="142" r="G60">
        <v>158</v>
      </c>
      <c t="s" s="142" r="H60">
        <v>209</v>
      </c>
      <c s="5" r="I60">
        <v>0.23275</v>
      </c>
      <c s="61" r="J60"/>
    </row>
    <row customHeight="1" r="61" ht="15.0">
      <c t="s" s="142" r="A61">
        <v>174</v>
      </c>
      <c t="s" s="142" r="B61">
        <v>153</v>
      </c>
      <c t="s" s="142" r="C61">
        <v>154</v>
      </c>
      <c t="s" s="142" r="D61">
        <v>155</v>
      </c>
      <c t="s" s="142" r="E61">
        <v>160</v>
      </c>
      <c t="s" s="142" r="F61">
        <v>157</v>
      </c>
      <c t="s" s="142" r="G61">
        <v>158</v>
      </c>
      <c t="s" s="142" r="H61">
        <v>210</v>
      </c>
      <c s="5" r="I61">
        <v>0.4655</v>
      </c>
      <c s="61" r="J61"/>
    </row>
    <row customHeight="1" r="62" ht="15.0">
      <c t="s" s="142" r="A62">
        <v>174</v>
      </c>
      <c t="s" s="142" r="B62">
        <v>153</v>
      </c>
      <c t="s" s="142" r="C62">
        <v>154</v>
      </c>
      <c t="s" s="142" r="D62">
        <v>155</v>
      </c>
      <c t="s" s="142" r="E62">
        <v>162</v>
      </c>
      <c t="s" s="142" r="F62">
        <v>157</v>
      </c>
      <c t="s" s="142" r="G62">
        <v>158</v>
      </c>
      <c t="s" s="142" r="H62">
        <v>211</v>
      </c>
      <c s="5" r="I62">
        <v>0.931</v>
      </c>
      <c s="61" r="J62"/>
    </row>
    <row customHeight="1" r="63" ht="15.0">
      <c t="s" s="142" r="A63">
        <v>174</v>
      </c>
      <c t="s" s="142" r="B63">
        <v>153</v>
      </c>
      <c t="s" s="142" r="C63">
        <v>154</v>
      </c>
      <c t="s" s="142" r="D63">
        <v>155</v>
      </c>
      <c t="s" s="142" r="E63">
        <v>164</v>
      </c>
      <c t="s" s="142" r="F63">
        <v>157</v>
      </c>
      <c t="s" s="142" r="G63">
        <v>158</v>
      </c>
      <c t="s" s="142" r="H63">
        <v>212</v>
      </c>
      <c s="5" r="I63">
        <v>1.862</v>
      </c>
      <c s="61" r="J63"/>
    </row>
    <row customHeight="1" r="64" ht="15.0">
      <c t="s" s="142" r="A64">
        <v>174</v>
      </c>
      <c t="s" s="142" r="B64">
        <v>153</v>
      </c>
      <c t="s" s="142" r="C64">
        <v>154</v>
      </c>
      <c t="s" s="142" r="D64">
        <v>155</v>
      </c>
      <c t="s" s="142" r="E64">
        <v>166</v>
      </c>
      <c t="s" s="142" r="F64">
        <v>157</v>
      </c>
      <c t="s" s="142" r="G64">
        <v>158</v>
      </c>
      <c t="s" s="142" r="H64">
        <v>213</v>
      </c>
      <c s="5" r="I64">
        <v>0.329</v>
      </c>
      <c s="61" r="J64"/>
    </row>
    <row customHeight="1" r="65" ht="15.0">
      <c t="s" s="142" r="A65">
        <v>174</v>
      </c>
      <c t="s" s="142" r="B65">
        <v>153</v>
      </c>
      <c t="s" s="142" r="C65">
        <v>154</v>
      </c>
      <c t="s" s="142" r="D65">
        <v>155</v>
      </c>
      <c t="s" s="142" r="E65">
        <v>168</v>
      </c>
      <c t="s" s="142" r="F65">
        <v>157</v>
      </c>
      <c t="s" s="142" r="G65">
        <v>158</v>
      </c>
      <c t="s" s="142" r="H65">
        <v>214</v>
      </c>
      <c s="5" r="I65">
        <v>2.632</v>
      </c>
      <c s="61" r="J65"/>
    </row>
    <row customHeight="1" r="66" ht="15.0">
      <c t="s" s="142" r="A66">
        <v>174</v>
      </c>
      <c t="s" s="142" r="B66">
        <v>153</v>
      </c>
      <c t="s" s="142" r="C66">
        <v>154</v>
      </c>
      <c t="s" s="142" r="D66">
        <v>155</v>
      </c>
      <c t="s" s="142" r="E66">
        <v>170</v>
      </c>
      <c t="s" s="142" r="F66">
        <v>157</v>
      </c>
      <c t="s" s="142" r="G66">
        <v>158</v>
      </c>
      <c t="s" s="142" r="H66">
        <v>215</v>
      </c>
      <c s="5" r="I66">
        <v>5.264</v>
      </c>
      <c s="61" r="J66"/>
    </row>
    <row customHeight="1" r="67" ht="15.0">
      <c t="s" s="142" r="A67">
        <v>174</v>
      </c>
      <c t="s" s="142" r="B67">
        <v>153</v>
      </c>
      <c t="s" s="142" r="C67">
        <v>154</v>
      </c>
      <c t="s" s="142" r="D67">
        <v>155</v>
      </c>
      <c t="s" s="142" r="E67">
        <v>172</v>
      </c>
      <c t="s" s="142" r="F67">
        <v>157</v>
      </c>
      <c t="s" s="142" r="G67">
        <v>158</v>
      </c>
      <c t="s" s="142" r="H67">
        <v>216</v>
      </c>
      <c s="5" r="I67">
        <v>8.62925</v>
      </c>
      <c s="61" r="J67"/>
    </row>
    <row customHeight="1" r="68" ht="15.0">
      <c s="142" r="A68"/>
      <c s="142" r="B68"/>
      <c s="142" r="C68"/>
      <c s="142" r="D68"/>
      <c s="142" r="E68"/>
      <c s="142" r="F68"/>
      <c s="142" r="G68"/>
      <c s="142" r="H68"/>
      <c s="5" r="I68"/>
      <c s="61" r="J68"/>
    </row>
    <row customHeight="1" r="69" ht="15.0">
      <c s="142" r="A69"/>
      <c s="142" r="B69"/>
      <c s="142" r="C69"/>
      <c s="142" r="D69"/>
      <c s="142" r="E69"/>
      <c s="142" r="F69"/>
      <c s="142" r="G69"/>
      <c s="142" r="H69"/>
      <c s="5" r="I69"/>
      <c s="61" r="J69"/>
    </row>
    <row customHeight="1" r="70" ht="15.0">
      <c s="142" r="A70"/>
      <c s="142" r="B70"/>
      <c s="142" r="C70"/>
      <c s="142" r="D70"/>
      <c s="142" r="E70"/>
      <c s="142" r="F70"/>
      <c s="142" r="G70"/>
      <c s="142" r="H70"/>
      <c s="5" r="I70"/>
      <c s="61" r="J70"/>
    </row>
    <row customHeight="1" r="71" ht="15.0">
      <c s="142" r="A71"/>
      <c s="142" r="B71"/>
      <c s="142" r="C71"/>
      <c s="142" r="D71"/>
      <c s="61" r="E71"/>
      <c s="142" r="F71"/>
      <c s="142" r="G71"/>
      <c s="142" r="H71"/>
      <c s="5" r="I71"/>
      <c s="61" r="J71"/>
    </row>
    <row r="72">
      <c s="142" r="A72"/>
      <c s="142" r="B72"/>
      <c s="142" r="C72"/>
      <c s="142" r="D72"/>
      <c s="142" r="E72"/>
      <c s="142" r="F72"/>
      <c s="142" r="G72"/>
      <c s="142" r="H72"/>
      <c s="5" r="I72"/>
      <c s="61" r="J72"/>
    </row>
    <row r="73">
      <c s="232" r="A73"/>
      <c s="232" r="B73"/>
      <c s="232" r="C73"/>
      <c s="232" r="D73"/>
      <c s="232" r="E73"/>
      <c s="232" r="F73"/>
      <c s="232" r="G73"/>
      <c s="232" r="H73"/>
      <c s="182" r="I73"/>
      <c s="411" r="J73"/>
    </row>
    <row customHeight="1" r="74" ht="15.75">
      <c t="s" s="32" r="A74">
        <v>217</v>
      </c>
      <c s="440" r="B74"/>
      <c s="440" r="C74"/>
      <c s="440" r="D74"/>
      <c s="440" r="E74"/>
      <c s="440" r="F74"/>
      <c s="440" r="G74"/>
      <c s="440" r="H74"/>
      <c s="440" r="I74"/>
      <c s="84" r="J74"/>
    </row>
    <row customHeight="1" r="75" ht="15.75">
      <c t="s" s="152" r="A75">
        <v>151</v>
      </c>
      <c s="352" r="B75"/>
      <c s="352" r="C75"/>
      <c s="352" r="D75"/>
      <c s="352" r="E75"/>
      <c s="352" r="F75"/>
      <c s="352" r="G75"/>
      <c s="352" r="H75"/>
      <c s="352" r="I75"/>
      <c s="378" r="J75"/>
    </row>
    <row customHeight="1" r="76" ht="15.0">
      <c t="s" s="56" r="A76">
        <v>152</v>
      </c>
      <c t="s" s="56" r="B76">
        <v>153</v>
      </c>
      <c t="s" s="56" r="C76">
        <v>154</v>
      </c>
      <c t="s" s="56" r="D76">
        <v>155</v>
      </c>
      <c t="s" s="56" r="E76">
        <v>156</v>
      </c>
      <c t="s" s="56" r="F76">
        <v>157</v>
      </c>
      <c t="s" s="56" r="G76">
        <v>158</v>
      </c>
      <c t="s" s="56" r="H76">
        <v>218</v>
      </c>
      <c s="157" r="I76">
        <v>0.623</v>
      </c>
      <c s="263" r="J76"/>
    </row>
    <row customHeight="1" r="77" ht="15.0">
      <c t="s" s="142" r="A77">
        <v>152</v>
      </c>
      <c t="s" s="142" r="B77">
        <v>153</v>
      </c>
      <c t="s" s="142" r="C77">
        <v>154</v>
      </c>
      <c t="s" s="142" r="D77">
        <v>155</v>
      </c>
      <c t="s" s="142" r="E77">
        <v>160</v>
      </c>
      <c t="s" s="142" r="F77">
        <v>157</v>
      </c>
      <c t="s" s="142" r="G77">
        <v>158</v>
      </c>
      <c t="s" s="142" r="H77">
        <v>219</v>
      </c>
      <c s="5" r="I77">
        <v>1.24425</v>
      </c>
      <c s="61" r="J77"/>
    </row>
    <row customHeight="1" r="78" ht="15.0">
      <c t="s" s="142" r="A78">
        <v>152</v>
      </c>
      <c t="s" s="142" r="B78">
        <v>153</v>
      </c>
      <c t="s" s="142" r="C78">
        <v>154</v>
      </c>
      <c t="s" s="142" r="D78">
        <v>155</v>
      </c>
      <c t="s" s="142" r="E78">
        <v>162</v>
      </c>
      <c t="s" s="142" r="F78">
        <v>157</v>
      </c>
      <c t="s" s="142" r="G78">
        <v>158</v>
      </c>
      <c t="s" s="142" r="H78">
        <v>220</v>
      </c>
      <c s="5" r="I78">
        <v>2.24</v>
      </c>
      <c s="61" r="J78"/>
    </row>
    <row customHeight="1" r="79" ht="15.0">
      <c t="s" s="142" r="A79">
        <v>152</v>
      </c>
      <c t="s" s="142" r="B79">
        <v>153</v>
      </c>
      <c t="s" s="142" r="C79">
        <v>154</v>
      </c>
      <c t="s" s="142" r="D79">
        <v>155</v>
      </c>
      <c t="s" s="142" r="E79">
        <v>164</v>
      </c>
      <c t="s" s="142" r="F79">
        <v>157</v>
      </c>
      <c t="s" s="142" r="G79">
        <v>158</v>
      </c>
      <c t="s" s="142" r="H79">
        <v>221</v>
      </c>
      <c s="5" r="I79">
        <v>4.48</v>
      </c>
      <c s="61" r="J79"/>
    </row>
    <row customHeight="1" r="80" ht="15.0">
      <c t="s" s="142" r="A80">
        <v>152</v>
      </c>
      <c t="s" s="142" r="B80">
        <v>153</v>
      </c>
      <c t="s" s="142" r="C80">
        <v>154</v>
      </c>
      <c t="s" s="142" r="D80">
        <v>155</v>
      </c>
      <c t="s" s="142" r="E80">
        <v>166</v>
      </c>
      <c t="s" s="142" r="F80">
        <v>157</v>
      </c>
      <c t="s" s="142" r="G80">
        <v>158</v>
      </c>
      <c t="s" s="142" r="H80">
        <v>222</v>
      </c>
      <c s="5" r="I80">
        <v>0.98175</v>
      </c>
      <c s="61" r="J80"/>
    </row>
    <row customHeight="1" r="81" ht="15.0">
      <c t="s" s="142" r="A81">
        <v>152</v>
      </c>
      <c t="s" s="142" r="B81">
        <v>153</v>
      </c>
      <c t="s" s="142" r="C81">
        <v>154</v>
      </c>
      <c t="s" s="142" r="D81">
        <v>155</v>
      </c>
      <c t="s" s="142" r="E81">
        <v>168</v>
      </c>
      <c t="s" s="142" r="F81">
        <v>157</v>
      </c>
      <c t="s" s="142" r="G81">
        <v>158</v>
      </c>
      <c t="s" s="142" r="H81">
        <v>223</v>
      </c>
      <c s="5" r="I81">
        <v>7.4585</v>
      </c>
      <c s="61" r="J81"/>
    </row>
    <row customHeight="1" r="82" ht="15.0">
      <c t="s" s="142" r="A82">
        <v>152</v>
      </c>
      <c t="s" s="142" r="B82">
        <v>153</v>
      </c>
      <c t="s" s="142" r="C82">
        <v>154</v>
      </c>
      <c t="s" s="142" r="D82">
        <v>155</v>
      </c>
      <c t="s" s="142" r="E82">
        <v>170</v>
      </c>
      <c t="s" s="142" r="F82">
        <v>157</v>
      </c>
      <c t="s" s="142" r="G82">
        <v>158</v>
      </c>
      <c t="s" s="142" r="H82">
        <v>224</v>
      </c>
      <c s="5" r="I82">
        <v>14.91525</v>
      </c>
      <c s="61" r="J82"/>
    </row>
    <row customHeight="1" r="83" ht="15.0">
      <c t="s" s="142" r="A83">
        <v>152</v>
      </c>
      <c t="s" s="142" r="B83">
        <v>153</v>
      </c>
      <c t="s" s="142" r="C83">
        <v>154</v>
      </c>
      <c t="s" s="142" r="D83">
        <v>155</v>
      </c>
      <c t="s" s="142" r="E83">
        <v>172</v>
      </c>
      <c t="s" s="142" r="F83">
        <v>157</v>
      </c>
      <c t="s" s="142" r="G83">
        <v>158</v>
      </c>
      <c t="s" s="142" r="H83">
        <v>225</v>
      </c>
      <c s="5" r="I83">
        <v>14.6125</v>
      </c>
      <c s="61" r="J83"/>
    </row>
    <row customHeight="1" r="84" ht="15.0">
      <c t="s" s="142" r="A84">
        <v>174</v>
      </c>
      <c t="s" s="142" r="B84">
        <v>153</v>
      </c>
      <c t="s" s="142" r="C84">
        <v>154</v>
      </c>
      <c t="s" s="142" r="D84">
        <v>155</v>
      </c>
      <c t="s" s="142" r="E84">
        <v>156</v>
      </c>
      <c t="s" s="142" r="F84">
        <v>157</v>
      </c>
      <c t="s" s="142" r="G84">
        <v>158</v>
      </c>
      <c t="s" s="142" r="H84">
        <v>226</v>
      </c>
      <c s="5" r="I84">
        <v>0.623</v>
      </c>
      <c s="61" r="J84"/>
    </row>
    <row customHeight="1" r="85" ht="15.0">
      <c t="s" s="142" r="A85">
        <v>174</v>
      </c>
      <c t="s" s="142" r="B85">
        <v>153</v>
      </c>
      <c t="s" s="142" r="C85">
        <v>154</v>
      </c>
      <c t="s" s="142" r="D85">
        <v>155</v>
      </c>
      <c t="s" s="142" r="E85">
        <v>160</v>
      </c>
      <c t="s" s="142" r="F85">
        <v>157</v>
      </c>
      <c t="s" s="142" r="G85">
        <v>158</v>
      </c>
      <c t="s" s="142" r="H85">
        <v>227</v>
      </c>
      <c s="5" r="I85">
        <v>1.24425</v>
      </c>
      <c s="61" r="J85"/>
    </row>
    <row customHeight="1" r="86" ht="15.0">
      <c t="s" s="142" r="A86">
        <v>174</v>
      </c>
      <c t="s" s="142" r="B86">
        <v>153</v>
      </c>
      <c t="s" s="142" r="C86">
        <v>154</v>
      </c>
      <c t="s" s="142" r="D86">
        <v>155</v>
      </c>
      <c t="s" s="142" r="E86">
        <v>162</v>
      </c>
      <c t="s" s="142" r="F86">
        <v>157</v>
      </c>
      <c t="s" s="142" r="G86">
        <v>158</v>
      </c>
      <c t="s" s="142" r="H86">
        <v>228</v>
      </c>
      <c s="5" r="I86">
        <v>2.24</v>
      </c>
      <c s="61" r="J86"/>
    </row>
    <row customHeight="1" r="87" ht="15.0">
      <c t="s" s="142" r="A87">
        <v>174</v>
      </c>
      <c t="s" s="142" r="B87">
        <v>153</v>
      </c>
      <c t="s" s="142" r="C87">
        <v>154</v>
      </c>
      <c t="s" s="142" r="D87">
        <v>155</v>
      </c>
      <c t="s" s="142" r="E87">
        <v>164</v>
      </c>
      <c t="s" s="142" r="F87">
        <v>157</v>
      </c>
      <c t="s" s="142" r="G87">
        <v>158</v>
      </c>
      <c t="s" s="142" r="H87">
        <v>229</v>
      </c>
      <c s="5" r="I87">
        <v>4.48</v>
      </c>
      <c s="61" r="J87"/>
    </row>
    <row customHeight="1" r="88" ht="15.0">
      <c t="s" s="142" r="A88">
        <v>174</v>
      </c>
      <c t="s" s="142" r="B88">
        <v>153</v>
      </c>
      <c t="s" s="142" r="C88">
        <v>154</v>
      </c>
      <c t="s" s="142" r="D88">
        <v>155</v>
      </c>
      <c t="s" s="142" r="E88">
        <v>166</v>
      </c>
      <c t="s" s="142" r="F88">
        <v>157</v>
      </c>
      <c t="s" s="142" r="G88">
        <v>158</v>
      </c>
      <c t="s" s="142" r="H88">
        <v>230</v>
      </c>
      <c s="5" r="I88">
        <v>0.98175</v>
      </c>
      <c s="61" r="J88"/>
    </row>
    <row customHeight="1" r="89" ht="15.0">
      <c t="s" s="142" r="A89">
        <v>174</v>
      </c>
      <c t="s" s="142" r="B89">
        <v>153</v>
      </c>
      <c t="s" s="142" r="C89">
        <v>154</v>
      </c>
      <c t="s" s="142" r="D89">
        <v>155</v>
      </c>
      <c t="s" s="142" r="E89">
        <v>168</v>
      </c>
      <c t="s" s="142" r="F89">
        <v>157</v>
      </c>
      <c t="s" s="142" r="G89">
        <v>158</v>
      </c>
      <c t="s" s="142" r="H89">
        <v>231</v>
      </c>
      <c s="5" r="I89">
        <v>7.4585</v>
      </c>
      <c s="61" r="J89"/>
    </row>
    <row customHeight="1" r="90" ht="15.0">
      <c t="s" s="142" r="A90">
        <v>174</v>
      </c>
      <c t="s" s="142" r="B90">
        <v>153</v>
      </c>
      <c t="s" s="142" r="C90">
        <v>154</v>
      </c>
      <c t="s" s="142" r="D90">
        <v>155</v>
      </c>
      <c t="s" s="142" r="E90">
        <v>170</v>
      </c>
      <c t="s" s="142" r="F90">
        <v>157</v>
      </c>
      <c t="s" s="142" r="G90">
        <v>158</v>
      </c>
      <c t="s" s="142" r="H90">
        <v>232</v>
      </c>
      <c s="5" r="I90">
        <v>14.91525</v>
      </c>
      <c s="61" r="J90"/>
    </row>
    <row customHeight="1" r="91" ht="15.0">
      <c t="s" s="142" r="A91">
        <v>174</v>
      </c>
      <c t="s" s="142" r="B91">
        <v>153</v>
      </c>
      <c t="s" s="142" r="C91">
        <v>154</v>
      </c>
      <c t="s" s="142" r="D91">
        <v>155</v>
      </c>
      <c t="s" s="142" r="E91">
        <v>172</v>
      </c>
      <c t="s" s="142" r="F91">
        <v>157</v>
      </c>
      <c t="s" s="142" r="G91">
        <v>158</v>
      </c>
      <c t="s" s="142" r="H91">
        <v>233</v>
      </c>
      <c s="5" r="I91">
        <v>14.6125</v>
      </c>
      <c s="61" r="J91"/>
    </row>
    <row customHeight="1" r="92" ht="15.0">
      <c s="142" r="A92"/>
      <c s="142" r="B92"/>
      <c s="142" r="C92"/>
      <c s="142" r="D92"/>
      <c s="142" r="E92"/>
      <c s="142" r="F92"/>
      <c s="142" r="G92"/>
      <c s="142" r="H92"/>
      <c s="5" r="I92"/>
      <c s="61" r="J92"/>
    </row>
    <row customHeight="1" r="93" ht="15.0">
      <c s="142" r="A93"/>
      <c s="142" r="B93"/>
      <c s="142" r="C93"/>
      <c s="142" r="D93"/>
      <c s="142" r="E93"/>
      <c s="142" r="F93"/>
      <c s="142" r="G93"/>
      <c s="142" r="H93"/>
      <c s="5" r="I93"/>
      <c s="61" r="J93"/>
    </row>
    <row customHeight="1" r="94" ht="15.0">
      <c s="142" r="A94"/>
      <c s="142" r="B94"/>
      <c s="142" r="C94"/>
      <c s="142" r="D94"/>
      <c s="142" r="E94"/>
      <c s="142" r="F94"/>
      <c s="142" r="G94"/>
      <c s="142" r="H94"/>
      <c s="5" r="I94"/>
      <c s="61" r="J94"/>
    </row>
    <row customHeight="1" r="95" ht="15.0">
      <c s="142" r="A95"/>
      <c s="142" r="B95"/>
      <c s="142" r="C95"/>
      <c s="142" r="D95"/>
      <c s="61" r="E95"/>
      <c s="142" r="F95"/>
      <c s="142" r="G95"/>
      <c s="142" r="H95"/>
      <c s="5" r="I95"/>
      <c s="61" r="J95"/>
    </row>
    <row r="96">
      <c s="142" r="A96"/>
      <c s="142" r="B96"/>
      <c s="142" r="C96"/>
      <c s="142" r="D96"/>
      <c s="142" r="E96"/>
      <c s="142" r="F96"/>
      <c s="142" r="G96"/>
      <c s="142" r="H96"/>
      <c s="5" r="I96"/>
      <c s="61" r="J96"/>
    </row>
    <row r="97">
      <c s="142" r="A97"/>
      <c s="142" r="B97"/>
      <c s="142" r="C97"/>
      <c s="142" r="D97"/>
      <c s="142" r="E97"/>
      <c s="142" r="F97"/>
      <c s="142" r="G97"/>
      <c s="142" r="H97"/>
      <c s="5" r="I97"/>
      <c s="61" r="J97"/>
    </row>
    <row r="98">
      <c s="411" r="A98"/>
      <c s="411" r="B98"/>
      <c s="411" r="C98"/>
      <c s="411" r="D98"/>
      <c s="411" r="E98"/>
      <c s="411" r="F98"/>
      <c s="411" r="G98"/>
      <c s="411" r="H98"/>
      <c s="411" r="I98"/>
      <c s="411" r="J98"/>
    </row>
    <row customHeight="1" r="99" ht="18.0">
      <c t="s" s="325" r="A99">
        <v>234</v>
      </c>
      <c s="244" r="B99"/>
      <c s="244" r="C99"/>
      <c s="244" r="D99"/>
      <c s="244" r="E99"/>
      <c s="244" r="F99"/>
      <c s="244" r="G99"/>
      <c s="244" r="H99"/>
      <c s="244" r="I99"/>
      <c s="161" r="J99"/>
    </row>
    <row r="100">
      <c t="s" s="382" r="A100">
        <v>0</v>
      </c>
      <c t="s" s="215" r="B100">
        <v>1</v>
      </c>
      <c t="s" s="215" r="C100">
        <v>2</v>
      </c>
      <c t="s" s="215" r="D100">
        <v>3</v>
      </c>
      <c t="s" s="215" r="E100">
        <v>4</v>
      </c>
      <c t="s" s="215" r="F100">
        <v>5</v>
      </c>
      <c t="s" s="215" r="G100">
        <v>6</v>
      </c>
      <c t="s" s="215" r="H100">
        <v>7</v>
      </c>
      <c t="s" s="215" r="I100">
        <v>8</v>
      </c>
      <c t="s" s="314" r="J100">
        <v>23</v>
      </c>
    </row>
    <row customHeight="1" r="101" ht="15.0">
      <c t="s" s="56" r="A101">
        <v>152</v>
      </c>
      <c t="s" s="56" r="B101">
        <v>235</v>
      </c>
      <c t="s" s="56" r="C101">
        <v>236</v>
      </c>
      <c t="s" s="56" r="D101">
        <v>237</v>
      </c>
      <c t="s" s="56" r="E101">
        <v>238</v>
      </c>
      <c t="s" s="56" r="F101">
        <v>239</v>
      </c>
      <c t="s" s="56" r="G101">
        <v>158</v>
      </c>
      <c t="s" s="56" r="H101">
        <v>240</v>
      </c>
      <c s="183" r="I101">
        <v>0.5</v>
      </c>
      <c s="263" r="J101"/>
    </row>
    <row customHeight="1" r="102" ht="15.0">
      <c t="s" s="142" r="A102">
        <v>152</v>
      </c>
      <c t="s" s="142" r="B102">
        <v>235</v>
      </c>
      <c t="s" s="142" r="C102">
        <v>236</v>
      </c>
      <c t="s" s="142" r="D102">
        <v>237</v>
      </c>
      <c t="s" s="142" r="E102">
        <v>241</v>
      </c>
      <c t="s" s="142" r="F102">
        <v>242</v>
      </c>
      <c t="s" s="142" r="G102">
        <v>158</v>
      </c>
      <c t="s" s="142" r="H102">
        <v>243</v>
      </c>
      <c s="312" r="I102">
        <v>0.4</v>
      </c>
      <c s="61" r="J102"/>
    </row>
    <row customHeight="1" r="103" ht="15.0">
      <c t="s" s="142" r="A103">
        <v>152</v>
      </c>
      <c t="s" s="142" r="B103">
        <v>235</v>
      </c>
      <c t="s" s="142" r="C103">
        <v>236</v>
      </c>
      <c t="s" s="142" r="D103">
        <v>237</v>
      </c>
      <c t="s" s="142" r="E103">
        <v>244</v>
      </c>
      <c t="s" s="142" r="F103">
        <v>239</v>
      </c>
      <c t="s" s="142" r="G103">
        <v>158</v>
      </c>
      <c t="s" s="142" r="H103">
        <v>245</v>
      </c>
      <c s="312" r="I103">
        <v>0.5</v>
      </c>
      <c s="61" r="J103"/>
    </row>
    <row customHeight="1" r="104" ht="15.0">
      <c t="s" s="142" r="A104">
        <v>152</v>
      </c>
      <c t="s" s="142" r="B104">
        <v>235</v>
      </c>
      <c t="s" s="142" r="C104">
        <v>236</v>
      </c>
      <c t="s" s="142" r="D104">
        <v>237</v>
      </c>
      <c t="s" s="142" r="E104">
        <v>246</v>
      </c>
      <c t="s" s="142" r="F104">
        <v>247</v>
      </c>
      <c t="s" s="142" r="G104">
        <v>158</v>
      </c>
      <c t="s" s="142" r="H104">
        <v>248</v>
      </c>
      <c s="60" r="I104">
        <v>1.5</v>
      </c>
      <c s="61" r="J104"/>
    </row>
    <row customHeight="1" r="105" ht="15.0">
      <c t="s" s="142" r="A105">
        <v>152</v>
      </c>
      <c t="s" s="142" r="B105">
        <v>235</v>
      </c>
      <c t="s" s="142" r="C105">
        <v>236</v>
      </c>
      <c t="s" s="142" r="D105">
        <v>237</v>
      </c>
      <c t="s" s="142" r="E105">
        <v>249</v>
      </c>
      <c t="s" s="142" r="F105">
        <v>247</v>
      </c>
      <c t="s" s="142" r="G105">
        <v>158</v>
      </c>
      <c t="s" s="142" r="H105">
        <v>250</v>
      </c>
      <c s="60" r="I105">
        <v>1</v>
      </c>
      <c s="61" r="J105"/>
    </row>
    <row customHeight="1" r="106" ht="15.0">
      <c t="s" s="142" r="A106">
        <v>152</v>
      </c>
      <c t="s" s="142" r="B106">
        <v>235</v>
      </c>
      <c t="s" s="142" r="C106">
        <v>236</v>
      </c>
      <c t="s" s="142" r="D106">
        <v>237</v>
      </c>
      <c t="s" s="142" r="E106">
        <v>251</v>
      </c>
      <c t="s" s="142" r="F106">
        <v>247</v>
      </c>
      <c t="s" s="142" r="G106">
        <v>158</v>
      </c>
      <c t="s" s="142" r="H106">
        <v>252</v>
      </c>
      <c s="60" r="I106">
        <v>0.5</v>
      </c>
      <c s="61" r="J106"/>
    </row>
    <row customHeight="1" r="107" ht="15.0">
      <c t="s" s="142" r="A107">
        <v>174</v>
      </c>
      <c t="s" s="142" r="B107">
        <v>235</v>
      </c>
      <c t="s" s="142" r="C107">
        <v>236</v>
      </c>
      <c t="s" s="142" r="D107">
        <v>237</v>
      </c>
      <c t="s" s="142" r="E107">
        <v>238</v>
      </c>
      <c t="s" s="142" r="F107">
        <v>239</v>
      </c>
      <c t="s" s="142" r="G107">
        <v>158</v>
      </c>
      <c t="s" s="142" r="H107">
        <v>253</v>
      </c>
      <c s="312" r="I107">
        <v>0.5</v>
      </c>
      <c s="61" r="J107"/>
    </row>
    <row customHeight="1" r="108" ht="15.0">
      <c t="s" s="142" r="A108">
        <v>174</v>
      </c>
      <c t="s" s="142" r="B108">
        <v>235</v>
      </c>
      <c t="s" s="142" r="C108">
        <v>236</v>
      </c>
      <c t="s" s="142" r="D108">
        <v>237</v>
      </c>
      <c t="s" s="142" r="E108">
        <v>241</v>
      </c>
      <c t="s" s="142" r="F108">
        <v>242</v>
      </c>
      <c t="s" s="142" r="G108">
        <v>158</v>
      </c>
      <c t="s" s="142" r="H108">
        <v>254</v>
      </c>
      <c s="312" r="I108">
        <v>0.4</v>
      </c>
      <c s="61" r="J108"/>
    </row>
    <row customHeight="1" r="109" ht="15.0">
      <c t="s" s="142" r="A109">
        <v>174</v>
      </c>
      <c t="s" s="142" r="B109">
        <v>235</v>
      </c>
      <c t="s" s="142" r="C109">
        <v>236</v>
      </c>
      <c t="s" s="142" r="D109">
        <v>237</v>
      </c>
      <c t="s" s="142" r="E109">
        <v>244</v>
      </c>
      <c t="s" s="142" r="F109">
        <v>239</v>
      </c>
      <c t="s" s="142" r="G109">
        <v>158</v>
      </c>
      <c t="s" s="142" r="H109">
        <v>255</v>
      </c>
      <c s="312" r="I109">
        <v>0.5</v>
      </c>
      <c s="61" r="J109"/>
    </row>
    <row customHeight="1" r="110" ht="15.0">
      <c t="s" s="142" r="A110">
        <v>174</v>
      </c>
      <c t="s" s="142" r="B110">
        <v>235</v>
      </c>
      <c t="s" s="142" r="C110">
        <v>236</v>
      </c>
      <c t="s" s="142" r="D110">
        <v>237</v>
      </c>
      <c t="s" s="142" r="E110">
        <v>246</v>
      </c>
      <c t="s" s="142" r="F110">
        <v>247</v>
      </c>
      <c t="s" s="142" r="G110">
        <v>158</v>
      </c>
      <c t="s" s="142" r="H110">
        <v>256</v>
      </c>
      <c s="60" r="I110">
        <v>1.5</v>
      </c>
      <c s="61" r="J110"/>
    </row>
    <row customHeight="1" r="111" ht="15.0">
      <c t="s" s="142" r="A111">
        <v>174</v>
      </c>
      <c t="s" s="142" r="B111">
        <v>235</v>
      </c>
      <c t="s" s="142" r="C111">
        <v>236</v>
      </c>
      <c t="s" s="142" r="D111">
        <v>237</v>
      </c>
      <c t="s" s="142" r="E111">
        <v>249</v>
      </c>
      <c t="s" s="142" r="F111">
        <v>247</v>
      </c>
      <c t="s" s="142" r="G111">
        <v>158</v>
      </c>
      <c t="s" s="142" r="H111">
        <v>257</v>
      </c>
      <c s="60" r="I111">
        <v>1</v>
      </c>
      <c s="61" r="J111"/>
    </row>
    <row customHeight="1" r="112" ht="15.0">
      <c t="s" s="142" r="A112">
        <v>174</v>
      </c>
      <c t="s" s="142" r="B112">
        <v>235</v>
      </c>
      <c t="s" s="142" r="C112">
        <v>236</v>
      </c>
      <c t="s" s="142" r="D112">
        <v>237</v>
      </c>
      <c t="s" s="142" r="E112">
        <v>251</v>
      </c>
      <c t="s" s="142" r="F112">
        <v>247</v>
      </c>
      <c t="s" s="142" r="G112">
        <v>158</v>
      </c>
      <c t="s" s="142" r="H112">
        <v>258</v>
      </c>
      <c s="60" r="I112">
        <v>0.5</v>
      </c>
      <c s="61" r="J112"/>
    </row>
    <row customHeight="1" r="113" ht="15.0">
      <c s="61" r="A113"/>
      <c s="61" r="B113"/>
      <c s="61" r="C113"/>
      <c s="61" r="D113"/>
      <c s="61" r="E113"/>
      <c s="61" r="F113"/>
      <c s="61" r="G113"/>
      <c s="61" r="H113"/>
      <c s="61" r="I113"/>
      <c s="61" r="J113"/>
    </row>
    <row customHeight="1" r="114" ht="15.0">
      <c s="411" r="A114"/>
      <c s="411" r="B114"/>
      <c s="411" r="C114"/>
      <c s="411" r="D114"/>
      <c s="411" r="E114"/>
      <c s="411" r="F114"/>
      <c s="411" r="G114"/>
      <c s="411" r="H114"/>
      <c s="411" r="I114"/>
      <c s="411" r="J114"/>
    </row>
    <row r="115">
      <c t="s" s="73" r="A115">
        <v>259</v>
      </c>
      <c s="369" r="B115"/>
      <c s="369" r="C115"/>
      <c s="369" r="D115"/>
      <c s="369" r="E115"/>
      <c s="369" r="F115"/>
      <c s="369" r="G115"/>
      <c s="369" r="H115"/>
      <c s="369" r="I115"/>
      <c s="44" r="J115"/>
    </row>
    <row r="116">
      <c t="s" s="382" r="A116">
        <v>0</v>
      </c>
      <c t="s" s="215" r="B116">
        <v>1</v>
      </c>
      <c t="s" s="215" r="C116">
        <v>2</v>
      </c>
      <c t="s" s="215" r="D116">
        <v>3</v>
      </c>
      <c t="s" s="215" r="E116">
        <v>4</v>
      </c>
      <c t="s" s="215" r="F116">
        <v>5</v>
      </c>
      <c t="s" s="215" r="G116">
        <v>6</v>
      </c>
      <c t="s" s="215" r="H116">
        <v>7</v>
      </c>
      <c t="s" s="215" r="I116">
        <v>8</v>
      </c>
      <c t="s" s="314" r="J116">
        <v>23</v>
      </c>
    </row>
    <row customHeight="1" r="117" ht="15.0">
      <c t="s" s="56" r="A117">
        <v>152</v>
      </c>
      <c t="s" s="56" r="B117">
        <v>153</v>
      </c>
      <c t="s" s="56" r="C117">
        <v>236</v>
      </c>
      <c t="s" s="56" r="D117">
        <v>259</v>
      </c>
      <c t="s" s="56" r="E117">
        <v>260</v>
      </c>
      <c t="s" s="56" r="F117">
        <v>247</v>
      </c>
      <c t="s" s="56" r="G117">
        <v>158</v>
      </c>
      <c t="s" s="56" r="H117">
        <v>261</v>
      </c>
      <c s="25" r="I117">
        <v>0.25</v>
      </c>
      <c s="263" r="J117"/>
    </row>
    <row customHeight="1" r="118" ht="15.0">
      <c t="s" s="142" r="A118">
        <v>152</v>
      </c>
      <c t="s" s="142" r="B118">
        <v>153</v>
      </c>
      <c t="s" s="142" r="C118">
        <v>236</v>
      </c>
      <c t="s" s="142" r="D118">
        <v>259</v>
      </c>
      <c t="s" s="142" r="E118">
        <v>262</v>
      </c>
      <c t="s" s="142" r="F118">
        <v>263</v>
      </c>
      <c t="s" s="142" r="G118">
        <v>158</v>
      </c>
      <c t="s" s="142" r="H118">
        <v>264</v>
      </c>
      <c s="267" r="I118">
        <v>0.05</v>
      </c>
      <c s="61" r="J118"/>
    </row>
    <row customHeight="1" r="119" ht="15.0">
      <c t="s" s="142" r="A119">
        <v>174</v>
      </c>
      <c t="s" s="142" r="B119">
        <v>153</v>
      </c>
      <c t="s" s="142" r="C119">
        <v>236</v>
      </c>
      <c t="s" s="142" r="D119">
        <v>259</v>
      </c>
      <c t="s" s="142" r="E119">
        <v>260</v>
      </c>
      <c t="s" s="142" r="F119">
        <v>247</v>
      </c>
      <c t="s" s="142" r="G119">
        <v>158</v>
      </c>
      <c t="s" s="142" r="H119">
        <v>265</v>
      </c>
      <c s="60" r="I119">
        <v>0.25</v>
      </c>
      <c s="61" r="J119"/>
    </row>
    <row customHeight="1" r="120" ht="15.0">
      <c t="s" s="142" r="A120">
        <v>174</v>
      </c>
      <c t="s" s="142" r="B120">
        <v>153</v>
      </c>
      <c t="s" s="142" r="C120">
        <v>236</v>
      </c>
      <c t="s" s="142" r="D120">
        <v>259</v>
      </c>
      <c t="s" s="142" r="E120">
        <v>262</v>
      </c>
      <c t="s" s="142" r="F120">
        <v>263</v>
      </c>
      <c t="s" s="142" r="G120">
        <v>158</v>
      </c>
      <c t="s" s="142" r="H120">
        <v>266</v>
      </c>
      <c s="267" r="I120">
        <v>0.05</v>
      </c>
      <c s="61" r="J120"/>
    </row>
    <row customHeight="1" r="121" ht="15.0">
      <c s="61" r="A121"/>
      <c s="61" r="B121"/>
      <c s="61" r="C121"/>
      <c s="61" r="D121"/>
      <c s="61" r="E121"/>
      <c s="61" r="F121"/>
      <c s="61" r="G121"/>
      <c s="61" r="H121"/>
      <c s="61" r="I121"/>
      <c s="61" r="J121"/>
    </row>
    <row customHeight="1" r="122" ht="15.0">
      <c s="411" r="A122"/>
      <c s="411" r="B122"/>
      <c s="411" r="C122"/>
      <c s="411" r="D122"/>
      <c s="411" r="E122"/>
      <c s="411" r="F122"/>
      <c s="411" r="G122"/>
      <c s="411" r="H122"/>
      <c s="411" r="I122"/>
      <c s="411" r="J122"/>
    </row>
    <row customHeight="1" r="123" ht="15.0">
      <c t="s" s="73" r="A123">
        <v>267</v>
      </c>
      <c s="369" r="B123"/>
      <c s="369" r="C123"/>
      <c s="369" r="D123"/>
      <c s="369" r="E123"/>
      <c s="369" r="F123"/>
      <c s="369" r="G123"/>
      <c s="369" r="H123"/>
      <c s="369" r="I123"/>
      <c s="44" r="J123"/>
    </row>
    <row r="124">
      <c t="s" s="382" r="A124">
        <v>1</v>
      </c>
      <c s="215" r="B124"/>
      <c s="215" r="C124"/>
      <c t="s" s="215" r="D124">
        <v>3</v>
      </c>
      <c t="s" s="215" r="E124">
        <v>4</v>
      </c>
      <c t="s" s="215" r="F124">
        <v>5</v>
      </c>
      <c t="s" s="215" r="G124">
        <v>6</v>
      </c>
      <c t="s" s="215" r="H124">
        <v>7</v>
      </c>
      <c t="s" s="215" r="I124">
        <v>8</v>
      </c>
      <c t="s" s="314" r="J124">
        <v>23</v>
      </c>
    </row>
    <row customHeight="1" r="125" ht="15.0">
      <c t="s" s="56" r="A125">
        <v>152</v>
      </c>
      <c t="s" s="56" r="B125">
        <v>153</v>
      </c>
      <c t="s" s="56" r="C125">
        <v>154</v>
      </c>
      <c t="s" s="56" r="D125">
        <v>267</v>
      </c>
      <c t="s" s="56" r="E125">
        <v>268</v>
      </c>
      <c t="s" s="56" r="F125">
        <v>269</v>
      </c>
      <c t="s" s="56" r="G125">
        <v>158</v>
      </c>
      <c t="s" s="56" r="H125">
        <v>270</v>
      </c>
      <c s="157" r="I125">
        <v>0.005</v>
      </c>
      <c s="263" r="J125"/>
    </row>
    <row customHeight="1" r="126" ht="15.0">
      <c t="s" s="142" r="A126">
        <v>152</v>
      </c>
      <c t="s" s="142" r="B126">
        <v>235</v>
      </c>
      <c t="s" s="142" r="C126">
        <v>236</v>
      </c>
      <c t="s" s="142" r="D126">
        <v>237</v>
      </c>
      <c t="s" s="142" r="E126">
        <v>271</v>
      </c>
      <c t="s" s="142" r="F126">
        <v>272</v>
      </c>
      <c t="s" s="142" r="G126">
        <v>158</v>
      </c>
      <c t="s" s="142" r="H126">
        <v>273</v>
      </c>
      <c s="203" r="I126">
        <v>0</v>
      </c>
      <c s="61" r="J126"/>
    </row>
    <row customHeight="1" r="127" ht="15.0">
      <c t="s" s="142" r="A127">
        <v>152</v>
      </c>
      <c t="s" s="142" r="B127">
        <v>235</v>
      </c>
      <c t="s" s="142" r="C127">
        <v>236</v>
      </c>
      <c t="s" s="142" r="D127">
        <v>237</v>
      </c>
      <c t="s" s="142" r="E127">
        <v>274</v>
      </c>
      <c t="s" s="142" r="F127">
        <v>272</v>
      </c>
      <c t="s" s="142" r="G127">
        <v>158</v>
      </c>
      <c t="s" s="142" r="H127">
        <v>275</v>
      </c>
      <c s="203" r="I127"/>
      <c s="61" r="J127"/>
    </row>
    <row customHeight="1" r="128" ht="15.0">
      <c t="s" s="142" r="A128">
        <v>174</v>
      </c>
      <c t="s" s="142" r="B128">
        <v>153</v>
      </c>
      <c t="s" s="142" r="C128">
        <v>154</v>
      </c>
      <c t="s" s="142" r="D128">
        <v>267</v>
      </c>
      <c t="s" s="142" r="E128">
        <v>268</v>
      </c>
      <c t="s" s="142" r="F128">
        <v>269</v>
      </c>
      <c t="s" s="142" r="G128">
        <v>158</v>
      </c>
      <c t="s" s="142" r="H128">
        <v>276</v>
      </c>
      <c s="5" r="I128">
        <v>0.005</v>
      </c>
      <c s="61" r="J128"/>
    </row>
    <row customHeight="1" r="129" ht="15.0">
      <c t="s" s="142" r="A129">
        <v>174</v>
      </c>
      <c t="s" s="142" r="B129">
        <v>235</v>
      </c>
      <c t="s" s="142" r="C129">
        <v>236</v>
      </c>
      <c t="s" s="142" r="D129">
        <v>237</v>
      </c>
      <c t="s" s="142" r="E129">
        <v>271</v>
      </c>
      <c t="s" s="142" r="F129">
        <v>272</v>
      </c>
      <c t="s" s="142" r="G129">
        <v>158</v>
      </c>
      <c t="s" s="142" r="H129">
        <v>277</v>
      </c>
      <c s="203" r="I129">
        <v>0</v>
      </c>
      <c s="61" r="J129"/>
    </row>
    <row customHeight="1" r="130" ht="15.0">
      <c t="s" s="142" r="A130">
        <v>174</v>
      </c>
      <c t="s" s="142" r="B130">
        <v>235</v>
      </c>
      <c t="s" s="142" r="C130">
        <v>236</v>
      </c>
      <c t="s" s="142" r="D130">
        <v>237</v>
      </c>
      <c t="s" s="142" r="E130">
        <v>274</v>
      </c>
      <c t="s" s="142" r="F130">
        <v>272</v>
      </c>
      <c t="s" s="142" r="G130">
        <v>158</v>
      </c>
      <c t="s" s="142" r="H130">
        <v>278</v>
      </c>
      <c s="203" r="I130"/>
      <c s="61" r="J130"/>
    </row>
  </sheetData>
  <mergeCells count="12">
    <mergeCell ref="A2:J2"/>
    <mergeCell ref="A4:J4"/>
    <mergeCell ref="A5:J5"/>
    <mergeCell ref="A27:J27"/>
    <mergeCell ref="A28:J28"/>
    <mergeCell ref="A50:J50"/>
    <mergeCell ref="A51:J51"/>
    <mergeCell ref="A74:J74"/>
    <mergeCell ref="A75:J75"/>
    <mergeCell ref="A99:J99"/>
    <mergeCell ref="A115:J115"/>
    <mergeCell ref="A123:J123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37.0" defaultRowHeight="12.75"/>
  <cols>
    <col min="1" max="8" style="338" width="36.29"/>
  </cols>
  <sheetData>
    <row r="1">
      <c s="61" r="A1"/>
      <c s="61" r="B1"/>
      <c s="61" r="C1"/>
      <c s="61" r="D1"/>
      <c s="61" r="E1"/>
      <c s="61" r="F1"/>
      <c s="61" r="G1"/>
      <c s="61" r="H1"/>
    </row>
    <row r="2">
      <c s="61" r="A2"/>
      <c s="61" r="B2"/>
      <c s="61" r="C2"/>
      <c s="61" r="D2"/>
      <c s="61" r="E2"/>
      <c s="61" r="F2"/>
      <c s="61" r="G2"/>
      <c s="61" r="H2"/>
    </row>
    <row r="3">
      <c s="411" r="A3"/>
      <c s="411" r="B3"/>
      <c s="411" r="C3"/>
      <c s="411" r="D3"/>
      <c s="411" r="E3"/>
      <c s="411" r="F3"/>
      <c s="61" r="G3"/>
      <c s="61" r="H3"/>
    </row>
    <row customHeight="1" r="4" ht="31.5">
      <c t="s" s="97" r="A4">
        <v>279</v>
      </c>
      <c t="s" s="97" r="B4">
        <v>56</v>
      </c>
      <c t="s" s="97" r="C4">
        <v>280</v>
      </c>
      <c t="s" s="97" r="D4">
        <v>281</v>
      </c>
      <c t="s" s="97" r="E4">
        <v>282</v>
      </c>
      <c t="s" s="97" r="F4">
        <v>283</v>
      </c>
      <c s="72" r="G4"/>
      <c s="61" r="H4"/>
    </row>
    <row customHeight="1" r="5" ht="15.75">
      <c t="s" s="271" r="A5">
        <v>284</v>
      </c>
      <c s="107" r="B5">
        <v>0</v>
      </c>
      <c s="107" r="C5">
        <v>0</v>
      </c>
      <c s="107" r="D5">
        <v>0.05</v>
      </c>
      <c s="107" r="E5">
        <v>0.1</v>
      </c>
      <c s="107" r="F5">
        <v>0.15</v>
      </c>
      <c s="36" r="G5"/>
      <c s="246" r="H5"/>
    </row>
    <row customHeight="1" r="6" ht="15.75">
      <c t="s" s="271" r="A6">
        <v>285</v>
      </c>
      <c s="107" r="B6">
        <v>0.05</v>
      </c>
      <c s="107" r="C6">
        <v>0.05</v>
      </c>
      <c s="107" r="D6">
        <v>0.1</v>
      </c>
      <c s="107" r="E6">
        <v>0.15</v>
      </c>
      <c s="107" r="F6">
        <v>0.2</v>
      </c>
      <c s="36" r="G6"/>
      <c s="246" r="H6"/>
    </row>
    <row customHeight="1" r="7" ht="15.75">
      <c t="s" s="271" r="A7">
        <v>286</v>
      </c>
      <c s="107" r="B7">
        <v>0.1</v>
      </c>
      <c s="107" r="C7">
        <v>0.1</v>
      </c>
      <c s="107" r="D7">
        <v>0.15</v>
      </c>
      <c s="107" r="E7">
        <v>0.2</v>
      </c>
      <c s="107" r="F7">
        <v>0.25</v>
      </c>
      <c s="36" r="G7"/>
      <c s="246" r="H7"/>
    </row>
    <row customHeight="1" r="8" ht="15.75">
      <c t="s" s="271" r="A8">
        <v>287</v>
      </c>
      <c s="107" r="B8">
        <v>0.15</v>
      </c>
      <c s="107" r="C8">
        <v>0.15</v>
      </c>
      <c s="107" r="D8">
        <v>0.2</v>
      </c>
      <c s="107" r="E8">
        <v>0.25</v>
      </c>
      <c s="107" r="F8">
        <v>0.3</v>
      </c>
      <c s="36" r="G8"/>
      <c s="246" r="H8"/>
    </row>
    <row r="9">
      <c s="263" r="A9"/>
      <c s="263" r="B9"/>
      <c s="263" r="C9"/>
      <c s="263" r="D9"/>
      <c s="263" r="E9"/>
      <c s="263" r="F9"/>
      <c s="61" r="G9"/>
      <c s="61" r="H9"/>
    </row>
    <row r="10">
      <c s="61" r="A10"/>
      <c s="61" r="B10"/>
      <c s="61" r="C10"/>
      <c s="61" r="D10"/>
      <c s="61" r="E10"/>
      <c s="61" r="F10"/>
      <c s="61" r="G10"/>
      <c s="61" r="H10"/>
    </row>
    <row r="11">
      <c s="61" r="A11"/>
      <c s="61" r="B11"/>
      <c s="61" r="C11"/>
      <c s="61" r="D11"/>
      <c s="61" r="E11"/>
      <c s="61" r="F11"/>
      <c s="61" r="G11"/>
      <c s="61" r="H11"/>
    </row>
    <row r="12">
      <c s="61" r="A12"/>
      <c s="61" r="B12"/>
      <c s="61" r="C12"/>
      <c s="61" r="D12"/>
      <c s="61" r="E12"/>
      <c s="61" r="F12"/>
      <c s="61" r="G12"/>
      <c s="61" r="H12"/>
    </row>
    <row r="13">
      <c s="61" r="A13"/>
      <c s="61" r="B13"/>
      <c s="61" r="C13"/>
      <c s="61" r="D13"/>
      <c s="61" r="E13"/>
      <c s="61" r="F13"/>
      <c s="61" r="G13"/>
      <c s="61" r="H13"/>
    </row>
    <row r="14">
      <c s="61" r="A14"/>
      <c s="61" r="B14"/>
      <c s="61" r="C14"/>
      <c s="61" r="D14"/>
      <c s="61" r="E14"/>
      <c s="61" r="F14"/>
      <c s="61" r="G14"/>
      <c s="61" r="H14"/>
    </row>
    <row r="15">
      <c s="61" r="A15"/>
      <c s="61" r="B15"/>
      <c s="61" r="C15"/>
      <c s="61" r="D15"/>
      <c s="61" r="E15"/>
      <c s="61" r="F15"/>
      <c s="61" r="G15"/>
      <c s="61" r="H15"/>
    </row>
    <row r="16">
      <c s="61" r="A16"/>
      <c s="61" r="B16"/>
      <c s="61" r="C16"/>
      <c s="61" r="D16"/>
      <c s="61" r="E16"/>
      <c s="61" r="F16"/>
      <c s="61" r="G16"/>
      <c s="61" r="H16"/>
    </row>
    <row r="17">
      <c s="61" r="A17"/>
      <c s="61" r="B17"/>
      <c s="61" r="C17"/>
      <c s="61" r="D17"/>
      <c s="61" r="E17"/>
      <c s="61" r="F17"/>
      <c s="61" r="G17"/>
      <c s="61" r="H17"/>
    </row>
    <row r="18">
      <c s="61" r="A18"/>
      <c s="61" r="B18"/>
      <c s="61" r="C18"/>
      <c s="61" r="D18"/>
      <c s="61" r="E18"/>
      <c s="61" r="F18"/>
      <c s="61" r="G18"/>
      <c s="61" r="H18"/>
    </row>
    <row r="19">
      <c s="61" r="A19"/>
      <c s="61" r="B19"/>
      <c s="61" r="C19"/>
      <c s="61" r="D19"/>
      <c s="61" r="E19"/>
      <c s="61" r="F19"/>
      <c s="61" r="G19"/>
      <c s="61" r="H19"/>
    </row>
    <row r="20">
      <c s="61" r="A20"/>
      <c s="61" r="B20"/>
      <c s="61" r="C20"/>
      <c s="61" r="D20"/>
      <c s="61" r="E20"/>
      <c s="61" r="F20"/>
      <c s="61" r="G20"/>
      <c s="61" r="H20"/>
    </row>
    <row r="21">
      <c s="338" r="A21"/>
      <c s="338" r="B21"/>
      <c s="338" r="C21"/>
      <c s="338" r="D21"/>
      <c s="338" r="E21"/>
      <c s="338" r="F21"/>
      <c s="338" r="G21"/>
      <c s="338" r="H21"/>
    </row>
    <row r="22">
      <c s="338" r="A22"/>
      <c s="338" r="B22"/>
      <c s="338" r="C22"/>
      <c s="338" r="D22"/>
      <c s="338" r="E22"/>
      <c s="338" r="F22"/>
      <c s="338" r="G22"/>
      <c s="338" r="H22"/>
    </row>
    <row r="23">
      <c s="338" r="A23"/>
      <c s="338" r="B23"/>
      <c s="338" r="C23"/>
      <c s="338" r="D23"/>
      <c s="338" r="E23"/>
      <c s="338" r="F23"/>
      <c s="338" r="G23"/>
      <c s="338" r="H23"/>
    </row>
    <row r="24">
      <c s="338" r="A24"/>
      <c s="338" r="B24"/>
      <c s="338" r="C24"/>
      <c s="338" r="D24"/>
      <c s="338" r="E24"/>
      <c s="338" r="F24"/>
      <c s="338" r="G24"/>
      <c s="338" r="H24"/>
    </row>
    <row r="25">
      <c s="338" r="A25"/>
      <c s="338" r="B25"/>
      <c s="338" r="C25"/>
      <c s="338" r="D25"/>
      <c s="338" r="E25"/>
      <c s="338" r="F25"/>
      <c s="338" r="G25"/>
      <c s="338" r="H25"/>
    </row>
    <row r="26">
      <c s="338" r="A26"/>
      <c s="338" r="B26"/>
      <c s="338" r="C26"/>
      <c s="338" r="D26"/>
      <c s="338" r="E26"/>
      <c s="338" r="F26"/>
      <c s="338" r="G26"/>
      <c s="338" r="H26"/>
    </row>
    <row r="27">
      <c s="338" r="A27"/>
      <c s="338" r="B27"/>
      <c s="338" r="C27"/>
      <c s="338" r="D27"/>
      <c s="338" r="E27"/>
      <c s="338" r="F27"/>
      <c s="338" r="G27"/>
      <c s="338" r="H27"/>
    </row>
    <row r="28">
      <c s="338" r="A28"/>
      <c s="338" r="B28"/>
      <c s="338" r="C28"/>
      <c s="338" r="D28"/>
      <c s="338" r="E28"/>
      <c s="338" r="F28"/>
      <c s="338" r="G28"/>
      <c s="338" r="H28"/>
    </row>
    <row r="29">
      <c s="338" r="A29"/>
      <c s="338" r="B29"/>
      <c s="338" r="C29"/>
      <c s="338" r="D29"/>
      <c s="338" r="E29"/>
      <c s="338" r="F29"/>
      <c s="338" r="G29"/>
      <c s="338" r="H29"/>
    </row>
    <row r="30">
      <c s="338" r="A30"/>
      <c s="338" r="B30"/>
      <c s="338" r="C30"/>
      <c s="338" r="D30"/>
      <c s="338" r="E30"/>
      <c s="338" r="F30"/>
      <c s="338" r="G30"/>
      <c s="338" r="H30"/>
    </row>
    <row r="31">
      <c s="338" r="A31"/>
      <c s="338" r="B31"/>
      <c s="338" r="C31"/>
      <c s="338" r="D31"/>
      <c s="338" r="E31"/>
      <c s="338" r="F31"/>
      <c s="338" r="G31"/>
      <c s="338" r="H31"/>
    </row>
    <row r="32">
      <c s="338" r="A32"/>
      <c s="338" r="B32"/>
      <c s="338" r="C32"/>
      <c s="338" r="D32"/>
      <c s="338" r="E32"/>
      <c s="338" r="F32"/>
      <c s="338" r="G32"/>
      <c s="338" r="H32"/>
    </row>
    <row r="33">
      <c s="338" r="A33"/>
      <c s="338" r="B33"/>
      <c s="338" r="C33"/>
      <c s="338" r="D33"/>
      <c s="338" r="E33"/>
      <c s="338" r="F33"/>
      <c s="338" r="G33"/>
      <c s="338" r="H33"/>
    </row>
    <row r="34">
      <c s="338" r="A34"/>
      <c s="338" r="B34"/>
      <c s="338" r="C34"/>
      <c s="338" r="D34"/>
      <c s="338" r="E34"/>
      <c s="338" r="F34"/>
      <c s="338" r="G34"/>
      <c s="338" r="H34"/>
    </row>
    <row r="35">
      <c s="338" r="A35"/>
      <c s="338" r="B35"/>
      <c s="338" r="C35"/>
      <c s="338" r="D35"/>
      <c s="338" r="E35"/>
      <c s="338" r="F35"/>
      <c s="338" r="G35"/>
      <c s="338" r="H35"/>
    </row>
    <row r="36">
      <c s="338" r="A36"/>
      <c s="338" r="B36"/>
      <c s="338" r="C36"/>
      <c s="338" r="D36"/>
      <c s="338" r="E36"/>
      <c s="338" r="F36"/>
      <c s="338" r="G36"/>
      <c s="338" r="H36"/>
    </row>
    <row r="37">
      <c s="338" r="A37"/>
      <c s="338" r="B37"/>
      <c s="338" r="C37"/>
      <c s="338" r="D37"/>
      <c s="338" r="E37"/>
      <c s="338" r="F37"/>
      <c s="338" r="G37"/>
      <c s="338" r="H37"/>
    </row>
    <row r="38">
      <c s="338" r="A38"/>
      <c s="338" r="B38"/>
      <c s="338" r="C38"/>
      <c s="338" r="D38"/>
      <c s="338" r="E38"/>
      <c s="338" r="F38"/>
      <c s="338" r="G38"/>
      <c s="338" r="H38"/>
    </row>
    <row r="39">
      <c s="338" r="A39"/>
      <c s="338" r="B39"/>
      <c s="338" r="C39"/>
      <c s="338" r="D39"/>
      <c s="338" r="E39"/>
      <c s="338" r="F39"/>
      <c s="338" r="G39"/>
      <c s="338" r="H39"/>
    </row>
    <row r="40">
      <c s="338" r="A40"/>
      <c s="338" r="B40"/>
      <c s="338" r="C40"/>
      <c s="338" r="D40"/>
      <c s="338" r="E40"/>
      <c s="338" r="F40"/>
      <c s="338" r="G40"/>
      <c s="338" r="H40"/>
    </row>
    <row r="41">
      <c s="338" r="A41"/>
      <c s="338" r="B41"/>
      <c s="338" r="C41"/>
      <c s="338" r="D41"/>
      <c s="338" r="E41"/>
      <c s="338" r="F41"/>
      <c s="338" r="G41"/>
      <c s="338" r="H41"/>
    </row>
    <row r="42">
      <c s="338" r="A42"/>
      <c s="338" r="B42"/>
      <c s="338" r="C42"/>
      <c s="338" r="D42"/>
      <c s="338" r="E42"/>
      <c s="338" r="F42"/>
      <c s="338" r="G42"/>
      <c s="338" r="H42"/>
    </row>
    <row r="43">
      <c s="338" r="A43"/>
      <c s="338" r="B43"/>
      <c s="338" r="C43"/>
      <c s="338" r="D43"/>
      <c s="338" r="E43"/>
      <c s="338" r="F43"/>
      <c s="338" r="G43"/>
      <c s="338" r="H4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33.0" defaultRowHeight="15.75"/>
  <cols>
    <col min="1" customWidth="1" max="1" style="308" width="33.0"/>
    <col min="2" max="6" style="308" width="32.29"/>
  </cols>
  <sheetData>
    <row r="1">
      <c s="54" r="A1"/>
      <c s="54" r="B1"/>
      <c s="54" r="C1"/>
      <c s="54" r="D1"/>
      <c s="54" r="E1"/>
      <c s="54" r="F1"/>
    </row>
    <row r="2">
      <c s="54" r="A2"/>
      <c s="54" r="B2"/>
      <c s="54" r="C2"/>
      <c s="54" r="D2"/>
      <c s="54" r="E2"/>
      <c s="54" r="F2"/>
    </row>
    <row r="3">
      <c s="54" r="A3"/>
      <c s="54" r="B3"/>
      <c s="54" r="C3"/>
      <c s="54" r="D3"/>
      <c s="54" r="E3"/>
      <c s="54" r="F3"/>
    </row>
    <row r="4">
      <c s="54" r="A4"/>
      <c s="54" r="B4"/>
      <c s="54" r="C4"/>
      <c s="54" r="D4"/>
      <c s="54" r="E4"/>
      <c s="54" r="F4"/>
    </row>
    <row r="5">
      <c s="54" r="A5"/>
      <c s="54" r="B5"/>
      <c s="54" r="C5"/>
      <c s="54" r="D5"/>
      <c s="54" r="E5"/>
      <c s="54" r="F5"/>
    </row>
    <row r="6">
      <c s="54" r="A6"/>
      <c s="54" r="B6"/>
      <c s="54" r="C6"/>
      <c s="54" r="D6"/>
      <c s="54" r="E6"/>
      <c s="54" r="F6"/>
    </row>
    <row r="7">
      <c s="54" r="A7"/>
      <c s="54" r="B7"/>
      <c s="54" r="C7"/>
      <c s="54" r="D7"/>
      <c s="54" r="E7"/>
      <c s="54" r="F7"/>
    </row>
    <row r="8">
      <c s="54" r="A8"/>
      <c s="54" r="B8"/>
      <c s="54" r="C8"/>
      <c s="54" r="D8"/>
      <c s="54" r="E8"/>
      <c s="54" r="F8"/>
    </row>
    <row r="9">
      <c s="54" r="A9"/>
      <c s="54" r="B9"/>
      <c s="54" r="C9"/>
      <c s="54" r="D9"/>
      <c s="54" r="E9"/>
      <c s="54" r="F9"/>
    </row>
    <row r="10">
      <c s="54" r="A10"/>
      <c s="54" r="B10"/>
      <c s="54" r="C10"/>
      <c s="54" r="D10"/>
      <c s="54" r="E10"/>
      <c s="54" r="F10"/>
    </row>
    <row r="11">
      <c s="54" r="A11"/>
      <c s="54" r="B11"/>
      <c s="54" r="C11"/>
      <c s="54" r="D11"/>
      <c s="54" r="E11"/>
      <c s="54" r="F11"/>
    </row>
    <row r="12">
      <c s="54" r="A12"/>
      <c s="54" r="B12"/>
      <c s="54" r="C12"/>
      <c s="54" r="D12"/>
      <c s="54" r="E12"/>
      <c s="54" r="F12"/>
    </row>
    <row r="13">
      <c s="54" r="A13"/>
      <c s="54" r="B13"/>
      <c s="54" r="C13"/>
      <c s="54" r="D13"/>
      <c s="54" r="E13"/>
      <c s="54" r="F13"/>
    </row>
    <row r="14">
      <c s="54" r="A14"/>
      <c s="54" r="B14"/>
      <c s="54" r="C14"/>
      <c s="54" r="D14"/>
      <c s="54" r="E14"/>
      <c s="54" r="F14"/>
    </row>
    <row r="15">
      <c s="54" r="A15"/>
      <c s="54" r="B15"/>
      <c s="54" r="C15"/>
      <c s="54" r="D15"/>
      <c s="54" r="E15"/>
      <c s="54" r="F15"/>
    </row>
    <row r="16">
      <c s="54" r="A16"/>
      <c s="54" r="B16"/>
      <c s="54" r="C16"/>
      <c s="54" r="D16"/>
      <c s="54" r="E16"/>
      <c s="54" r="F16"/>
    </row>
    <row r="17">
      <c s="54" r="A17"/>
      <c s="54" r="B17"/>
      <c s="54" r="C17"/>
      <c s="54" r="D17"/>
      <c s="54" r="E17"/>
      <c s="54" r="F17"/>
    </row>
    <row r="18">
      <c s="54" r="A18"/>
      <c s="54" r="B18"/>
      <c s="54" r="C18"/>
      <c s="54" r="D18"/>
      <c s="54" r="E18"/>
      <c s="54" r="F18"/>
    </row>
    <row r="19">
      <c s="54" r="A19"/>
      <c s="54" r="B19"/>
      <c s="54" r="C19"/>
      <c s="54" r="D19"/>
      <c s="54" r="E19"/>
      <c s="54" r="F19"/>
    </row>
    <row r="20">
      <c s="54" r="A20"/>
      <c s="54" r="B20"/>
      <c s="54" r="C20"/>
      <c s="54" r="D20"/>
      <c s="54" r="E20"/>
      <c s="54" r="F20"/>
    </row>
    <row r="21">
      <c s="308" r="A21"/>
      <c s="308" r="B21"/>
      <c s="308" r="C21"/>
      <c s="308" r="D21"/>
      <c s="308" r="E21"/>
      <c s="308" r="F21"/>
    </row>
    <row r="22">
      <c s="308" r="A22"/>
      <c s="308" r="B22"/>
      <c s="308" r="C22"/>
      <c s="308" r="D22"/>
      <c s="308" r="E22"/>
      <c s="308" r="F22"/>
    </row>
    <row r="23">
      <c s="308" r="A23"/>
      <c s="308" r="B23"/>
      <c s="308" r="C23"/>
      <c s="308" r="D23"/>
      <c s="308" r="E23"/>
      <c s="308" r="F23"/>
    </row>
    <row r="24">
      <c s="308" r="A24"/>
      <c s="308" r="B24"/>
      <c s="308" r="C24"/>
      <c s="308" r="D24"/>
      <c s="308" r="E24"/>
      <c s="308" r="F24"/>
    </row>
    <row r="25">
      <c s="308" r="A25"/>
      <c s="308" r="B25"/>
      <c s="308" r="C25"/>
      <c s="308" r="D25"/>
      <c s="308" r="E25"/>
      <c s="308" r="F25"/>
    </row>
    <row r="26">
      <c s="308" r="A26"/>
      <c s="308" r="B26"/>
      <c s="308" r="C26"/>
      <c s="308" r="D26"/>
      <c s="308" r="E26"/>
      <c s="308" r="F26"/>
    </row>
    <row r="27">
      <c s="308" r="A27"/>
      <c s="308" r="B27"/>
      <c s="308" r="C27"/>
      <c s="308" r="D27"/>
      <c s="308" r="E27"/>
      <c s="308" r="F27"/>
    </row>
    <row r="28">
      <c s="308" r="A28"/>
      <c s="308" r="B28"/>
      <c s="308" r="C28"/>
      <c s="308" r="D28"/>
      <c s="308" r="E28"/>
      <c s="308" r="F28"/>
    </row>
    <row r="29">
      <c s="308" r="A29"/>
      <c s="308" r="B29"/>
      <c s="308" r="C29"/>
      <c s="308" r="D29"/>
      <c s="308" r="E29"/>
      <c s="308" r="F29"/>
    </row>
    <row r="30">
      <c s="308" r="A30"/>
      <c s="308" r="B30"/>
      <c s="308" r="C30"/>
      <c s="308" r="D30"/>
      <c s="308" r="E30"/>
      <c s="308" r="F30"/>
    </row>
    <row r="31">
      <c s="308" r="A31"/>
      <c s="308" r="B31"/>
      <c s="308" r="C31"/>
      <c s="308" r="D31"/>
      <c s="308" r="E31"/>
      <c s="308" r="F31"/>
    </row>
    <row r="32">
      <c s="308" r="A32"/>
      <c s="308" r="B32"/>
      <c s="308" r="C32"/>
      <c s="308" r="D32"/>
      <c s="308" r="E32"/>
      <c s="308" r="F32"/>
    </row>
    <row r="33">
      <c s="308" r="A33"/>
      <c s="308" r="B33"/>
      <c s="308" r="C33"/>
      <c s="308" r="D33"/>
      <c s="308" r="E33"/>
      <c s="308" r="F33"/>
    </row>
    <row r="34">
      <c s="308" r="A34"/>
      <c s="308" r="B34"/>
      <c s="308" r="C34"/>
      <c s="308" r="D34"/>
      <c s="308" r="E34"/>
      <c s="308" r="F34"/>
    </row>
    <row r="35">
      <c s="308" r="A35"/>
      <c s="308" r="B35"/>
      <c s="308" r="C35"/>
      <c s="308" r="D35"/>
      <c s="308" r="E35"/>
      <c s="308" r="F35"/>
    </row>
    <row r="36">
      <c s="308" r="A36"/>
      <c s="308" r="B36"/>
      <c s="308" r="C36"/>
      <c s="308" r="D36"/>
      <c s="308" r="E36"/>
      <c s="308" r="F36"/>
    </row>
    <row r="37">
      <c s="308" r="A37"/>
      <c s="308" r="B37"/>
      <c s="308" r="C37"/>
      <c s="308" r="D37"/>
      <c s="308" r="E37"/>
      <c s="308" r="F37"/>
    </row>
    <row r="38">
      <c s="308" r="A38"/>
      <c s="308" r="B38"/>
      <c s="308" r="C38"/>
      <c s="308" r="D38"/>
      <c s="308" r="E38"/>
      <c s="308" r="F38"/>
    </row>
    <row r="39">
      <c s="308" r="A39"/>
      <c s="308" r="B39"/>
      <c s="308" r="C39"/>
      <c s="308" r="D39"/>
      <c s="308" r="E39"/>
      <c s="308" r="F39"/>
    </row>
    <row r="40">
      <c s="308" r="A40"/>
      <c s="308" r="B40"/>
      <c s="308" r="C40"/>
      <c s="308" r="D40"/>
      <c s="308" r="E40"/>
      <c s="308" r="F40"/>
    </row>
    <row r="41">
      <c s="308" r="A41"/>
      <c s="308" r="B41"/>
      <c s="308" r="C41"/>
      <c s="308" r="D41"/>
      <c s="308" r="E41"/>
      <c s="308" r="F41"/>
    </row>
    <row r="42">
      <c s="308" r="A42"/>
      <c s="308" r="B42"/>
      <c s="308" r="C42"/>
      <c s="308" r="D42"/>
      <c s="308" r="E42"/>
      <c s="308" r="F42"/>
    </row>
    <row r="43">
      <c s="308" r="A43"/>
      <c s="308" r="B43"/>
      <c s="308" r="C43"/>
      <c s="308" r="D43"/>
      <c s="308" r="E43"/>
      <c s="308" r="F43"/>
    </row>
    <row r="44">
      <c s="308" r="A44"/>
      <c s="308" r="B44"/>
      <c s="308" r="C44"/>
      <c s="308" r="D44"/>
      <c s="308" r="E44"/>
      <c s="308" r="F44"/>
    </row>
    <row r="45">
      <c s="308" r="A45"/>
      <c s="308" r="B45"/>
      <c s="308" r="C45"/>
      <c s="308" r="D45"/>
      <c s="308" r="E45"/>
      <c s="308" r="F45"/>
    </row>
    <row r="46">
      <c s="308" r="A46"/>
      <c s="308" r="B46"/>
      <c s="308" r="C46"/>
      <c s="308" r="D46"/>
      <c s="308" r="E46"/>
      <c s="308" r="F46"/>
    </row>
    <row r="47">
      <c s="308" r="A47"/>
      <c s="308" r="B47"/>
      <c s="308" r="C47"/>
      <c s="308" r="D47"/>
      <c s="308" r="E47"/>
      <c s="308" r="F47"/>
    </row>
    <row r="48">
      <c s="308" r="A48"/>
      <c s="308" r="B48"/>
      <c s="308" r="C48"/>
      <c s="308" r="D48"/>
      <c s="308" r="E48"/>
      <c s="308" r="F48"/>
    </row>
    <row r="49">
      <c s="308" r="A49"/>
      <c s="308" r="B49"/>
      <c s="308" r="C49"/>
      <c s="308" r="D49"/>
      <c s="308" r="E49"/>
      <c s="308" r="F49"/>
    </row>
    <row r="50">
      <c s="308" r="A50"/>
      <c s="308" r="B50"/>
      <c s="308" r="C50"/>
      <c s="308" r="D50"/>
      <c s="308" r="E50"/>
      <c s="308" r="F50"/>
    </row>
    <row r="51">
      <c s="308" r="A51"/>
      <c s="308" r="B51"/>
      <c s="308" r="C51"/>
      <c s="308" r="D51"/>
      <c s="308" r="E51"/>
      <c s="308" r="F51"/>
    </row>
    <row r="52">
      <c s="308" r="A52"/>
      <c s="308" r="B52"/>
      <c s="308" r="C52"/>
      <c s="308" r="D52"/>
      <c s="308" r="E52"/>
      <c s="308" r="F52"/>
    </row>
    <row r="53">
      <c s="308" r="A53"/>
      <c s="308" r="B53"/>
      <c s="308" r="C53"/>
      <c s="308" r="D53"/>
      <c s="308" r="E53"/>
      <c s="308" r="F53"/>
    </row>
    <row r="54">
      <c s="308" r="A54"/>
      <c s="308" r="B54"/>
      <c s="308" r="C54"/>
      <c s="308" r="D54"/>
      <c s="308" r="E54"/>
      <c s="308" r="F54"/>
    </row>
    <row r="55">
      <c s="308" r="A55"/>
      <c s="308" r="B55"/>
      <c s="308" r="C55"/>
      <c s="308" r="D55"/>
      <c s="308" r="E55"/>
      <c s="308" r="F55"/>
    </row>
    <row r="56">
      <c s="308" r="A56"/>
      <c s="308" r="B56"/>
      <c s="308" r="C56"/>
      <c s="308" r="D56"/>
      <c s="308" r="E56"/>
      <c s="308" r="F56"/>
    </row>
    <row r="57">
      <c s="308" r="A57"/>
      <c s="308" r="B57"/>
      <c s="308" r="C57"/>
      <c s="308" r="D57"/>
      <c s="308" r="E57"/>
      <c s="308" r="F57"/>
    </row>
    <row r="58">
      <c s="308" r="A58"/>
      <c s="308" r="B58"/>
      <c s="308" r="C58"/>
      <c s="308" r="D58"/>
      <c s="308" r="E58"/>
      <c s="308" r="F58"/>
    </row>
    <row r="59">
      <c s="308" r="A59"/>
      <c s="308" r="B59"/>
      <c s="308" r="C59"/>
      <c s="308" r="D59"/>
      <c s="308" r="E59"/>
      <c s="308" r="F59"/>
    </row>
    <row r="60">
      <c s="308" r="A60"/>
      <c s="308" r="B60"/>
      <c s="308" r="C60"/>
      <c s="308" r="D60"/>
      <c s="308" r="E60"/>
      <c s="308" r="F60"/>
    </row>
    <row r="61">
      <c s="308" r="A61"/>
      <c s="308" r="B61"/>
      <c s="308" r="C61"/>
      <c s="308" r="D61"/>
      <c s="308" r="E61"/>
      <c s="308" r="F61"/>
    </row>
    <row r="62">
      <c s="308" r="A62"/>
      <c s="308" r="B62"/>
      <c s="308" r="C62"/>
      <c s="308" r="D62"/>
      <c s="308" r="E62"/>
      <c s="308" r="F62"/>
    </row>
    <row r="63">
      <c s="308" r="A63"/>
      <c s="308" r="B63"/>
      <c s="308" r="C63"/>
      <c s="308" r="D63"/>
      <c s="308" r="E63"/>
      <c s="308" r="F63"/>
    </row>
    <row r="64">
      <c s="308" r="A64"/>
      <c s="308" r="B64"/>
      <c s="308" r="C64"/>
      <c s="308" r="D64"/>
      <c s="308" r="E64"/>
      <c s="308" r="F64"/>
    </row>
    <row r="65">
      <c s="308" r="A65"/>
      <c s="308" r="B65"/>
      <c s="308" r="C65"/>
      <c s="308" r="D65"/>
      <c s="308" r="E65"/>
      <c s="308" r="F65"/>
    </row>
    <row r="66">
      <c s="308" r="A66"/>
      <c s="308" r="B66"/>
      <c s="308" r="C66"/>
      <c s="308" r="D66"/>
      <c s="308" r="E66"/>
      <c s="308" r="F66"/>
    </row>
    <row r="67">
      <c s="308" r="A67"/>
      <c s="308" r="B67"/>
      <c s="308" r="C67"/>
      <c s="308" r="D67"/>
      <c s="308" r="E67"/>
      <c s="308" r="F67"/>
    </row>
    <row r="68">
      <c s="308" r="A68"/>
      <c s="308" r="B68"/>
      <c s="308" r="C68"/>
      <c s="308" r="D68"/>
      <c s="308" r="E68"/>
      <c s="308" r="F6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30.57" defaultRowHeight="13.5"/>
  <cols>
    <col min="1" customWidth="1" max="1" style="241" width="79.29"/>
    <col min="2" max="2" style="241" width="29.86"/>
    <col min="3" customWidth="1" max="3" style="241" width="36.0"/>
    <col min="4" customWidth="1" max="4" style="241" width="44.29"/>
    <col min="5" max="9" style="241" width="29.86"/>
    <col min="10" customWidth="1" max="11" style="241" width="30.57"/>
    <col min="12" customWidth="1" max="34" style="241" width="15.43"/>
    <col min="35" max="37" style="241" width="29.86"/>
  </cols>
  <sheetData>
    <row customHeight="1" r="1" ht="18.0">
      <c t="s" s="33" r="A1">
        <v>288</v>
      </c>
      <c s="33" r="B1"/>
      <c s="54" r="C1"/>
      <c s="54" r="D1"/>
      <c s="241" r="E1">
        <f>83-17</f>
        <v>66</v>
      </c>
      <c s="54" r="F1"/>
      <c s="54" r="G1"/>
      <c s="54" r="H1"/>
      <c s="54" r="I1"/>
      <c s="54" r="J1"/>
      <c s="54" r="K1"/>
      <c s="54" r="L1"/>
      <c s="54" r="M1"/>
      <c s="54" r="N1"/>
      <c s="54" r="O1"/>
      <c s="54" r="P1"/>
      <c s="54" r="Q1"/>
      <c s="54" r="R1"/>
      <c s="54" r="S1"/>
      <c s="54" r="T1"/>
      <c s="54" r="U1"/>
      <c s="54" r="V1"/>
      <c s="54" r="W1"/>
      <c s="54" r="X1"/>
      <c s="54" r="Y1"/>
      <c s="54" r="Z1"/>
      <c s="54" r="AA1"/>
      <c s="54" r="AB1"/>
      <c s="54" r="AC1"/>
      <c s="54" r="AD1"/>
      <c s="54" r="AE1"/>
      <c s="54" r="AF1"/>
      <c s="54" r="AG1"/>
      <c s="54" r="AH1"/>
      <c s="54" r="AI1"/>
      <c s="54" r="AJ1"/>
      <c s="54" r="AK1"/>
    </row>
    <row customHeight="1" r="2" ht="18.0">
      <c s="33" r="A2"/>
      <c s="33" r="B2"/>
      <c s="54" r="C2"/>
      <c s="54" r="D2"/>
      <c s="54" r="E2"/>
      <c s="54" r="F2"/>
      <c s="54" r="G2"/>
      <c s="54" r="H2"/>
      <c s="54" r="I2"/>
      <c s="54" r="J2"/>
      <c s="54" r="K2"/>
      <c s="54" r="L2"/>
      <c s="54" r="M2"/>
      <c s="54" r="N2"/>
      <c s="54" r="O2"/>
      <c s="54" r="P2"/>
      <c s="54" r="Q2"/>
      <c s="54" r="R2"/>
      <c s="54" r="S2"/>
      <c s="54" r="T2"/>
      <c s="54" r="U2"/>
      <c s="54" r="V2"/>
      <c s="54" r="W2"/>
      <c s="54" r="X2"/>
      <c s="54" r="Y2"/>
      <c s="54" r="Z2"/>
      <c s="54" r="AA2"/>
      <c s="54" r="AB2"/>
      <c s="54" r="AC2"/>
      <c s="54" r="AD2"/>
      <c s="54" r="AE2"/>
      <c s="54" r="AF2"/>
      <c s="54" r="AG2"/>
      <c s="54" r="AH2"/>
      <c s="54" r="AI2"/>
      <c s="54" r="AJ2"/>
      <c s="54" r="AK2"/>
    </row>
    <row customHeight="1" r="3" ht="18.0">
      <c t="s" s="33" r="A3">
        <v>289</v>
      </c>
      <c s="33" r="B3"/>
      <c s="54" r="C3"/>
      <c s="54" r="D3"/>
      <c s="54" r="E3"/>
      <c s="54" r="F3"/>
      <c s="54" r="G3"/>
      <c s="54" r="H3"/>
      <c s="54" r="I3"/>
      <c s="54" r="J3"/>
      <c s="54" r="K3"/>
      <c s="54" r="L3"/>
      <c s="54" r="M3"/>
      <c s="54" r="N3"/>
      <c s="54" r="O3"/>
      <c s="54" r="P3"/>
      <c s="54" r="Q3"/>
      <c s="54" r="R3"/>
      <c s="54" r="S3"/>
      <c s="54" r="T3"/>
      <c s="54" r="U3"/>
      <c s="54" r="V3"/>
      <c s="54" r="W3"/>
      <c s="54" r="X3"/>
      <c s="54" r="Y3"/>
      <c s="54" r="Z3"/>
      <c s="54" r="AA3"/>
      <c s="54" r="AB3"/>
      <c s="54" r="AC3"/>
      <c s="54" r="AD3"/>
      <c s="54" r="AE3"/>
      <c s="54" r="AF3"/>
      <c s="54" r="AG3"/>
      <c s="54" r="AH3"/>
      <c s="54" r="AI3"/>
      <c s="54" r="AJ3"/>
      <c s="54" r="AK3"/>
    </row>
    <row customHeight="1" r="4" ht="18.0">
      <c t="s" s="139" r="A4">
        <v>290</v>
      </c>
      <c s="33" r="B4"/>
      <c s="54" r="C4"/>
      <c s="54" r="D4"/>
      <c s="54" r="E4"/>
      <c s="54" r="F4"/>
      <c s="54" r="G4"/>
      <c s="54" r="H4"/>
      <c s="54" r="I4"/>
      <c s="54" r="J4"/>
      <c s="54" r="K4"/>
      <c s="54" r="L4"/>
      <c s="54" r="M4"/>
      <c s="54" r="N4"/>
      <c s="54" r="O4"/>
      <c s="54" r="P4"/>
      <c s="54" r="Q4"/>
      <c s="54" r="R4"/>
      <c s="54" r="S4"/>
      <c s="54" r="T4"/>
      <c s="54" r="U4"/>
      <c s="54" r="V4"/>
      <c s="54" r="W4"/>
      <c s="54" r="X4"/>
      <c s="54" r="Y4"/>
      <c s="54" r="Z4"/>
      <c s="54" r="AA4"/>
      <c s="54" r="AB4"/>
      <c s="54" r="AC4"/>
      <c s="54" r="AD4"/>
      <c s="54" r="AE4"/>
      <c s="54" r="AF4"/>
      <c s="54" r="AG4"/>
      <c s="54" r="AH4"/>
      <c s="54" r="AI4"/>
      <c s="54" r="AJ4"/>
      <c s="54" r="AK4"/>
    </row>
    <row r="5">
      <c s="54" r="A5"/>
      <c s="54" r="B5"/>
      <c s="54" r="C5"/>
      <c s="54" r="D5"/>
      <c s="54" r="E5"/>
      <c s="54" r="F5"/>
      <c s="54" r="G5"/>
      <c s="54" r="H5"/>
      <c s="54" r="I5"/>
      <c s="54" r="J5"/>
      <c s="54" r="K5"/>
      <c s="54" r="L5"/>
      <c s="54" r="M5"/>
      <c s="54" r="N5"/>
      <c s="54" r="O5"/>
      <c s="54" r="P5"/>
      <c s="54" r="Q5"/>
      <c s="54" r="R5"/>
      <c s="54" r="S5"/>
      <c s="54" r="T5"/>
      <c s="54" r="U5"/>
      <c s="54" r="V5"/>
      <c s="54" r="W5"/>
      <c s="54" r="X5"/>
      <c s="54" r="Y5"/>
      <c s="54" r="Z5"/>
      <c s="54" r="AA5"/>
      <c s="54" r="AB5"/>
      <c s="54" r="AC5"/>
      <c s="54" r="AD5"/>
      <c s="54" r="AE5"/>
      <c s="54" r="AF5"/>
      <c s="54" r="AG5"/>
      <c s="54" r="AH5"/>
      <c s="54" r="AI5"/>
      <c s="54" r="AJ5"/>
      <c s="54" r="AK5"/>
    </row>
    <row r="6">
      <c s="54" r="A6"/>
      <c s="54" r="B6"/>
      <c s="54" r="C6"/>
      <c s="54" r="D6"/>
      <c s="54" r="E6"/>
      <c s="54" r="F6"/>
      <c s="54" r="G6"/>
      <c s="54" r="H6"/>
      <c s="54" r="I6"/>
      <c s="54" r="J6"/>
      <c s="54" r="K6"/>
      <c s="54" r="L6"/>
      <c s="54" r="M6"/>
      <c s="54" r="N6"/>
      <c s="54" r="O6"/>
      <c s="54" r="P6"/>
      <c s="54" r="Q6"/>
      <c s="54" r="R6"/>
      <c s="54" r="S6"/>
      <c s="54" r="T6"/>
      <c s="54" r="U6"/>
      <c s="54" r="V6"/>
      <c s="54" r="W6"/>
      <c s="54" r="X6"/>
      <c s="54" r="Y6"/>
      <c s="54" r="Z6"/>
      <c s="54" r="AA6"/>
      <c s="54" r="AB6"/>
      <c s="54" r="AC6"/>
      <c s="54" r="AD6"/>
      <c s="54" r="AE6"/>
      <c s="54" r="AF6"/>
      <c s="54" r="AG6"/>
      <c s="54" r="AH6"/>
      <c s="54" r="AI6"/>
      <c s="54" r="AJ6"/>
      <c s="54" r="AK6"/>
    </row>
    <row customHeight="1" r="7" ht="15.0">
      <c s="190" r="A7"/>
      <c s="190" r="B7"/>
      <c s="190" r="C7"/>
      <c s="54" r="D7"/>
      <c s="54" r="E7"/>
      <c s="54" r="F7"/>
      <c s="54" r="G7"/>
      <c s="54" r="H7"/>
      <c s="54" r="I7"/>
      <c s="54" r="J7"/>
      <c s="54" r="K7"/>
      <c s="54" r="L7"/>
      <c s="54" r="M7"/>
      <c s="54" r="N7"/>
      <c s="54" r="O7"/>
      <c s="54" r="P7"/>
      <c s="54" r="Q7"/>
      <c s="54" r="R7"/>
      <c s="54" r="S7"/>
      <c s="54" r="T7"/>
      <c s="54" r="U7"/>
      <c s="54" r="V7"/>
      <c s="54" r="W7"/>
      <c s="54" r="X7"/>
      <c s="54" r="Y7"/>
      <c s="54" r="Z7"/>
      <c s="54" r="AA7"/>
      <c s="54" r="AB7"/>
      <c s="54" r="AC7"/>
      <c s="54" r="AD7"/>
      <c s="54" r="AE7"/>
      <c s="54" r="AF7"/>
      <c s="54" r="AG7"/>
      <c s="54" r="AH7"/>
      <c s="54" r="AI7"/>
      <c s="54" r="AJ7"/>
      <c s="54" r="AK7"/>
    </row>
    <row r="8">
      <c s="255" r="A8"/>
      <c s="128" r="B8"/>
      <c s="9" r="C8"/>
      <c s="26" r="D8"/>
      <c s="54" r="E8"/>
      <c s="54" r="F8"/>
      <c s="54" r="G8"/>
      <c s="54" r="H8"/>
      <c s="54" r="I8"/>
      <c s="54" r="J8"/>
      <c s="54" r="K8"/>
      <c s="54" r="L8"/>
      <c s="54" r="M8"/>
      <c s="54" r="N8"/>
      <c s="54" r="O8"/>
      <c s="54" r="P8"/>
      <c s="54" r="Q8"/>
      <c s="54" r="R8"/>
      <c s="54" r="S8"/>
      <c s="54" r="T8"/>
      <c s="54" r="U8"/>
      <c s="54" r="V8"/>
      <c s="54" r="W8"/>
      <c s="54" r="X8"/>
      <c s="54" r="Y8"/>
      <c s="54" r="Z8"/>
      <c s="54" r="AA8"/>
      <c s="54" r="AB8"/>
      <c s="54" r="AC8"/>
      <c s="54" r="AD8"/>
      <c s="54" r="AE8"/>
      <c s="54" r="AF8"/>
      <c s="54" r="AG8"/>
      <c s="54" r="AH8"/>
      <c s="54" r="AI8"/>
      <c s="54" r="AJ8"/>
      <c s="54" r="AK8"/>
    </row>
    <row r="9">
      <c t="s" s="70" r="A9">
        <v>291</v>
      </c>
      <c s="344" r="B9"/>
      <c s="294" r="C9"/>
      <c s="26" r="D9"/>
      <c s="54" r="E9"/>
      <c s="54" r="F9"/>
      <c s="54" r="G9"/>
      <c s="54" r="H9"/>
      <c s="54" r="I9"/>
      <c s="54" r="J9"/>
      <c s="54" r="K9"/>
      <c s="54" r="L9"/>
      <c s="54" r="M9"/>
      <c s="54" r="N9"/>
      <c s="54" r="O9"/>
      <c s="54" r="P9"/>
      <c s="54" r="Q9"/>
      <c s="54" r="R9"/>
      <c s="54" r="S9"/>
      <c s="54" r="T9"/>
      <c s="54" r="U9"/>
      <c s="54" r="V9"/>
      <c s="54" r="W9"/>
      <c s="54" r="X9"/>
      <c s="54" r="Y9"/>
      <c s="54" r="Z9"/>
      <c s="54" r="AA9"/>
      <c s="54" r="AB9"/>
      <c s="54" r="AC9"/>
      <c s="54" r="AD9"/>
      <c s="54" r="AE9"/>
      <c s="54" r="AF9"/>
      <c s="54" r="AG9"/>
      <c s="54" r="AH9"/>
      <c s="54" r="AI9"/>
      <c s="54" r="AJ9"/>
      <c s="54" r="AK9"/>
    </row>
    <row r="10">
      <c s="344" r="A10"/>
      <c s="344" r="B10"/>
      <c s="294" r="C10"/>
      <c s="26" r="D10"/>
      <c s="54" r="E10"/>
      <c s="54" r="F10"/>
      <c s="54" r="G10"/>
      <c s="54" r="H10"/>
      <c s="54" r="I10"/>
      <c s="54" r="J10"/>
      <c s="54" r="K10"/>
      <c s="54" r="L10"/>
      <c s="54" r="M10"/>
      <c s="54" r="N10"/>
      <c s="54" r="O10"/>
      <c s="54" r="P10"/>
      <c s="54" r="Q10"/>
      <c s="54" r="R10"/>
      <c s="54" r="S10"/>
      <c s="54" r="T10"/>
      <c s="54" r="U10"/>
      <c s="54" r="V10"/>
      <c s="54" r="W10"/>
      <c s="54" r="X10"/>
      <c s="54" r="Y10"/>
      <c s="54" r="Z10"/>
      <c s="54" r="AA10"/>
      <c s="54" r="AB10"/>
      <c s="54" r="AC10"/>
      <c s="54" r="AD10"/>
      <c s="54" r="AE10"/>
      <c s="54" r="AF10"/>
      <c s="54" r="AG10"/>
      <c s="54" r="AH10"/>
      <c s="54" r="AI10"/>
      <c s="54" r="AJ10"/>
      <c s="54" r="AK10"/>
    </row>
    <row r="11">
      <c t="s" s="179" r="A11">
        <v>292</v>
      </c>
      <c t="s" s="121" r="B11">
        <v>293</v>
      </c>
      <c t="s" s="415" r="C11">
        <v>294</v>
      </c>
      <c t="s" s="219" r="D11">
        <v>295</v>
      </c>
      <c t="s" s="233" r="E11">
        <v>296</v>
      </c>
      <c t="s" s="233" r="F11">
        <v>297</v>
      </c>
      <c s="54" r="G11"/>
      <c s="54" r="H11"/>
      <c s="54" r="I11"/>
      <c s="54" r="J11"/>
      <c s="54" r="K11"/>
      <c s="54" r="L11"/>
      <c s="54" r="M11"/>
      <c s="54" r="N11"/>
      <c s="54" r="O11"/>
      <c s="54" r="P11"/>
      <c s="54" r="Q11"/>
      <c s="54" r="R11"/>
      <c s="54" r="S11"/>
      <c s="54" r="T11"/>
      <c s="54" r="U11"/>
      <c s="54" r="V11"/>
      <c s="54" r="W11"/>
      <c s="54" r="X11"/>
      <c s="54" r="Y11"/>
      <c s="54" r="Z11"/>
      <c s="54" r="AA11"/>
      <c s="54" r="AB11"/>
      <c s="54" r="AC11"/>
      <c s="54" r="AD11"/>
      <c s="54" r="AE11"/>
      <c s="54" r="AF11"/>
      <c s="54" r="AG11"/>
      <c s="54" r="AH11"/>
      <c s="54" r="AI11"/>
      <c s="54" r="AJ11"/>
      <c s="54" r="AK11"/>
    </row>
    <row r="12">
      <c t="s" s="298" r="A12">
        <v>156</v>
      </c>
      <c s="298" r="B12">
        <f>'Unit Prices'!I6</f>
        <v>0.1225</v>
      </c>
      <c t="s" s="294" r="C12">
        <v>298</v>
      </c>
      <c s="226" r="D12">
        <f>'Unit Prices'!I52</f>
        <v>0.23275</v>
      </c>
      <c s="59" r="E12">
        <f>'Unit Prices'!I76</f>
        <v>0.623</v>
      </c>
      <c s="59" r="F12">
        <f>'Unit Prices'!I29</f>
        <v>0.2275</v>
      </c>
      <c s="54" r="G12"/>
      <c s="54" r="H12"/>
      <c s="54" r="I12"/>
      <c s="54" r="J12"/>
      <c s="54" r="K12"/>
      <c s="54" r="L12"/>
      <c s="54" r="M12"/>
      <c s="54" r="N12"/>
      <c s="54" r="O12"/>
      <c s="54" r="P12"/>
      <c s="54" r="Q12"/>
      <c s="54" r="R12"/>
      <c s="54" r="S12"/>
      <c s="54" r="T12"/>
      <c s="54" r="U12"/>
      <c s="54" r="V12"/>
      <c s="54" r="W12"/>
      <c s="54" r="X12"/>
      <c s="54" r="Y12"/>
      <c s="54" r="Z12"/>
      <c s="54" r="AA12"/>
      <c s="54" r="AB12"/>
      <c s="54" r="AC12"/>
      <c s="54" r="AD12"/>
      <c s="54" r="AE12"/>
      <c s="54" r="AF12"/>
      <c s="54" r="AG12"/>
      <c s="54" r="AH12"/>
      <c s="54" r="AI12"/>
      <c s="54" r="AJ12"/>
      <c s="54" r="AK12"/>
    </row>
    <row r="13">
      <c t="s" s="298" r="A13">
        <v>160</v>
      </c>
      <c s="298" r="B13">
        <f>'Unit Prices'!I7</f>
        <v>0.245</v>
      </c>
      <c t="s" s="294" r="C13">
        <v>299</v>
      </c>
      <c s="226" r="D13">
        <f>'Unit Prices'!I53</f>
        <v>0.4655</v>
      </c>
      <c s="59" r="E13">
        <f>'Unit Prices'!I77</f>
        <v>1.24425</v>
      </c>
      <c s="59" r="F13">
        <f>'Unit Prices'!I30</f>
        <v>0.35</v>
      </c>
      <c s="54" r="G13"/>
      <c s="54" r="H13"/>
      <c s="54" r="I13"/>
      <c s="54" r="J13"/>
      <c s="54" r="K13"/>
      <c s="54" r="L13"/>
      <c s="54" r="M13"/>
      <c s="54" r="N13"/>
      <c s="54" r="O13"/>
      <c s="54" r="P13"/>
      <c s="54" r="Q13"/>
      <c s="54" r="R13"/>
      <c s="54" r="S13"/>
      <c s="54" r="T13"/>
      <c s="54" r="U13"/>
      <c s="54" r="V13"/>
      <c s="54" r="W13"/>
      <c s="54" r="X13"/>
      <c s="54" r="Y13"/>
      <c s="54" r="Z13"/>
      <c s="54" r="AA13"/>
      <c s="54" r="AB13"/>
      <c s="54" r="AC13"/>
      <c s="54" r="AD13"/>
      <c s="54" r="AE13"/>
      <c s="54" r="AF13"/>
      <c s="54" r="AG13"/>
      <c s="54" r="AH13"/>
      <c s="54" r="AI13"/>
      <c s="54" r="AJ13"/>
      <c s="54" r="AK13"/>
    </row>
    <row r="14">
      <c t="s" s="298" r="A14">
        <v>162</v>
      </c>
      <c s="298" r="B14">
        <f>'Unit Prices'!I8</f>
        <v>0.49</v>
      </c>
      <c t="s" s="294" r="C14">
        <v>300</v>
      </c>
      <c s="226" r="D14">
        <f>'Unit Prices'!I54</f>
        <v>0.931</v>
      </c>
      <c s="59" r="E14">
        <f>'Unit Prices'!I78</f>
        <v>2.24</v>
      </c>
      <c s="59" r="F14">
        <f>'Unit Prices'!I31</f>
        <v>0.595</v>
      </c>
      <c s="54" r="G14"/>
      <c s="54" r="H14"/>
      <c s="54" r="I14"/>
      <c s="54" r="J14"/>
      <c s="54" r="K14"/>
      <c s="54" r="L14"/>
      <c s="54" r="M14"/>
      <c s="54" r="N14"/>
      <c s="54" r="O14"/>
      <c s="54" r="P14"/>
      <c s="54" r="Q14"/>
      <c s="54" r="R14"/>
      <c s="54" r="S14"/>
      <c s="54" r="T14"/>
      <c s="54" r="U14"/>
      <c s="54" r="V14"/>
      <c s="54" r="W14"/>
      <c s="54" r="X14"/>
      <c s="54" r="Y14"/>
      <c s="54" r="Z14"/>
      <c s="54" r="AA14"/>
      <c s="54" r="AB14"/>
      <c s="54" r="AC14"/>
      <c s="54" r="AD14"/>
      <c s="54" r="AE14"/>
      <c s="54" r="AF14"/>
      <c s="54" r="AG14"/>
      <c s="54" r="AH14"/>
      <c s="54" r="AI14"/>
      <c s="54" r="AJ14"/>
      <c s="54" r="AK14"/>
    </row>
    <row r="15">
      <c t="s" s="298" r="A15">
        <v>164</v>
      </c>
      <c s="298" r="B15">
        <f>'Unit Prices'!I9</f>
        <v>0.98</v>
      </c>
      <c t="s" s="294" r="C15">
        <v>301</v>
      </c>
      <c s="226" r="D15">
        <f>'Unit Prices'!I55</f>
        <v>1.862</v>
      </c>
      <c s="59" r="E15">
        <f>'Unit Prices'!I79</f>
        <v>4.48</v>
      </c>
      <c s="59" r="F15">
        <f>'Unit Prices'!I32</f>
        <v>1.2075</v>
      </c>
      <c s="54" r="G15"/>
      <c s="54" r="H15"/>
      <c s="54" r="I15"/>
      <c s="54" r="J15"/>
      <c s="54" r="K15"/>
      <c s="54" r="L15"/>
      <c s="54" r="M15"/>
      <c s="54" r="N15"/>
      <c s="54" r="O15"/>
      <c s="54" r="P15"/>
      <c s="54" r="Q15"/>
      <c s="54" r="R15"/>
      <c s="54" r="S15"/>
      <c s="54" r="T15"/>
      <c s="54" r="U15"/>
      <c s="54" r="V15"/>
      <c s="54" r="W15"/>
      <c s="54" r="X15"/>
      <c s="54" r="Y15"/>
      <c s="54" r="Z15"/>
      <c s="54" r="AA15"/>
      <c s="54" r="AB15"/>
      <c s="54" r="AC15"/>
      <c s="54" r="AD15"/>
      <c s="54" r="AE15"/>
      <c s="54" r="AF15"/>
      <c s="54" r="AG15"/>
      <c s="54" r="AH15"/>
      <c s="54" r="AI15"/>
      <c s="54" r="AJ15"/>
      <c s="54" r="AK15"/>
    </row>
    <row r="16">
      <c t="s" s="298" r="A16">
        <v>166</v>
      </c>
      <c s="298" r="B16">
        <f>'Unit Prices'!I10</f>
        <v>0.18375</v>
      </c>
      <c t="s" s="294" r="C16">
        <v>302</v>
      </c>
      <c s="226" r="D16">
        <f>'Unit Prices'!I56</f>
        <v>0.329</v>
      </c>
      <c s="59" r="E16">
        <f>'Unit Prices'!I80</f>
        <v>0.98175</v>
      </c>
      <c s="59" r="F16">
        <f>'Unit Prices'!I33</f>
        <v>0.28875</v>
      </c>
      <c s="54" r="G16"/>
      <c s="54" r="H16"/>
      <c s="54" r="I16"/>
      <c s="54" r="J16"/>
      <c s="54" r="K16"/>
      <c s="54" r="L16"/>
      <c s="54" r="M16"/>
      <c s="54" r="N16"/>
      <c s="54" r="O16"/>
      <c s="54" r="P16"/>
      <c s="54" r="Q16"/>
      <c s="54" r="R16"/>
      <c s="54" r="S16"/>
      <c s="54" r="T16"/>
      <c s="54" r="U16"/>
      <c s="54" r="V16"/>
      <c s="54" r="W16"/>
      <c s="54" r="X16"/>
      <c s="54" r="Y16"/>
      <c s="54" r="Z16"/>
      <c s="54" r="AA16"/>
      <c s="54" r="AB16"/>
      <c s="54" r="AC16"/>
      <c s="54" r="AD16"/>
      <c s="54" r="AE16"/>
      <c s="54" r="AF16"/>
      <c s="54" r="AG16"/>
      <c s="54" r="AH16"/>
      <c s="54" r="AI16"/>
      <c s="54" r="AJ16"/>
      <c s="54" r="AK16"/>
    </row>
    <row r="17">
      <c t="s" s="298" r="A17">
        <v>168</v>
      </c>
      <c s="298" r="B17">
        <f>'Unit Prices'!I11</f>
        <v>1.47</v>
      </c>
      <c t="s" s="294" r="C17">
        <v>303</v>
      </c>
      <c s="226" r="D17">
        <f>'Unit Prices'!I57</f>
        <v>2.632</v>
      </c>
      <c s="59" r="E17">
        <f>'Unit Prices'!I81</f>
        <v>7.4585</v>
      </c>
      <c s="59" r="F17">
        <f>'Unit Prices'!I34</f>
        <v>1.6975</v>
      </c>
      <c s="54" r="G17"/>
      <c s="54" r="H17"/>
      <c s="54" r="I17"/>
      <c s="54" r="J17"/>
      <c s="54" r="K17"/>
      <c s="54" r="L17"/>
      <c s="54" r="M17"/>
      <c s="54" r="N17"/>
      <c s="54" r="O17"/>
      <c s="54" r="P17"/>
      <c s="54" r="Q17"/>
      <c s="54" r="R17"/>
      <c s="54" r="S17"/>
      <c s="54" r="T17"/>
      <c s="54" r="U17"/>
      <c s="54" r="V17"/>
      <c s="54" r="W17"/>
      <c s="54" r="X17"/>
      <c s="54" r="Y17"/>
      <c s="54" r="Z17"/>
      <c s="54" r="AA17"/>
      <c s="54" r="AB17"/>
      <c s="54" r="AC17"/>
      <c s="54" r="AD17"/>
      <c s="54" r="AE17"/>
      <c s="54" r="AF17"/>
      <c s="54" r="AG17"/>
      <c s="54" r="AH17"/>
      <c s="54" r="AI17"/>
      <c s="54" r="AJ17"/>
      <c s="54" r="AK17"/>
    </row>
    <row r="18">
      <c t="s" s="298" r="A18">
        <v>170</v>
      </c>
      <c s="298" r="B18">
        <f>'Unit Prices'!I12</f>
        <v>2.94</v>
      </c>
      <c t="s" s="294" r="C18">
        <v>304</v>
      </c>
      <c s="226" r="D18">
        <f>'Unit Prices'!I58</f>
        <v>5.264</v>
      </c>
      <c s="59" r="E18">
        <f>'Unit Prices'!I82</f>
        <v>14.91525</v>
      </c>
      <c s="59" r="F18">
        <f>'Unit Prices'!I35</f>
        <v>3.168</v>
      </c>
      <c s="54" r="G18"/>
      <c s="54" r="H18"/>
      <c s="54" r="I18"/>
      <c s="54" r="J18"/>
      <c s="54" r="K18"/>
      <c s="54" r="L18"/>
      <c s="54" r="M18"/>
      <c s="54" r="N18"/>
      <c s="54" r="O18"/>
      <c s="54" r="P18"/>
      <c s="54" r="Q18"/>
      <c s="54" r="R18"/>
      <c s="54" r="S18"/>
      <c s="54" r="T18"/>
      <c s="54" r="U18"/>
      <c s="54" r="V18"/>
      <c s="54" r="W18"/>
      <c s="54" r="X18"/>
      <c s="54" r="Y18"/>
      <c s="54" r="Z18"/>
      <c s="54" r="AA18"/>
      <c s="54" r="AB18"/>
      <c s="54" r="AC18"/>
      <c s="54" r="AD18"/>
      <c s="54" r="AE18"/>
      <c s="54" r="AF18"/>
      <c s="54" r="AG18"/>
      <c s="54" r="AH18"/>
      <c s="54" r="AI18"/>
      <c s="54" r="AJ18"/>
      <c s="54" r="AK18"/>
    </row>
    <row r="19">
      <c t="s" s="344" r="A19">
        <v>172</v>
      </c>
      <c s="298" r="B19">
        <f>'Unit Prices'!I13</f>
        <v>8.05</v>
      </c>
      <c t="s" s="294" r="C19">
        <v>305</v>
      </c>
      <c s="226" r="D19">
        <f>'Unit Prices'!I59</f>
        <v>8.62925</v>
      </c>
      <c s="59" r="E19">
        <f>'Unit Prices'!I83</f>
        <v>14.6125</v>
      </c>
      <c s="59" r="F19">
        <f>'Unit Prices'!I36</f>
        <v>8.2775</v>
      </c>
      <c s="54" r="G19"/>
      <c s="54" r="H19"/>
      <c s="54" r="I19"/>
      <c s="54" r="J19"/>
      <c s="54" r="K19"/>
      <c s="54" r="L19"/>
      <c s="54" r="M19"/>
      <c s="54" r="N19"/>
      <c s="54" r="O19"/>
      <c s="54" r="P19"/>
      <c s="54" r="Q19"/>
      <c s="54" r="R19"/>
      <c s="54" r="S19"/>
      <c s="54" r="T19"/>
      <c s="54" r="U19"/>
      <c s="54" r="V19"/>
      <c s="54" r="W19"/>
      <c s="54" r="X19"/>
      <c s="54" r="Y19"/>
      <c s="54" r="Z19"/>
      <c s="54" r="AA19"/>
      <c s="54" r="AB19"/>
      <c s="54" r="AC19"/>
      <c s="54" r="AD19"/>
      <c s="54" r="AE19"/>
      <c s="54" r="AF19"/>
      <c s="54" r="AG19"/>
      <c s="54" r="AH19"/>
      <c s="54" r="AI19"/>
      <c s="54" r="AJ19"/>
      <c s="54" r="AK19"/>
    </row>
    <row r="20">
      <c s="344" r="A20"/>
      <c s="298" r="B20"/>
      <c s="294" r="C20"/>
      <c s="226" r="D20"/>
      <c s="59" r="E20"/>
      <c s="59" r="F20"/>
      <c s="54" r="G20"/>
      <c s="54" r="H20"/>
      <c s="54" r="I20"/>
      <c s="54" r="J20"/>
      <c s="54" r="K20"/>
      <c s="54" r="L20"/>
      <c s="54" r="M20"/>
      <c s="54" r="N20"/>
      <c s="54" r="O20"/>
      <c s="54" r="P20"/>
      <c s="54" r="Q20"/>
      <c s="54" r="R20"/>
      <c s="54" r="S20"/>
      <c s="54" r="T20"/>
      <c s="54" r="U20"/>
      <c s="54" r="V20"/>
      <c s="54" r="W20"/>
      <c s="54" r="X20"/>
      <c s="54" r="Y20"/>
      <c s="54" r="Z20"/>
      <c s="54" r="AA20"/>
      <c s="54" r="AB20"/>
      <c s="54" r="AC20"/>
      <c s="54" r="AD20"/>
      <c s="54" r="AE20"/>
      <c s="54" r="AF20"/>
      <c s="54" r="AG20"/>
      <c s="54" r="AH20"/>
      <c s="54" r="AI20"/>
      <c s="54" r="AJ20"/>
      <c s="54" r="AK20"/>
    </row>
    <row r="21">
      <c s="344" r="A21"/>
      <c s="298" r="B21"/>
      <c s="294" r="C21"/>
      <c s="226" r="D21"/>
      <c s="59" r="E21"/>
      <c s="59" r="F21"/>
      <c s="54" r="G21"/>
      <c s="54" r="H21"/>
      <c s="54" r="I21"/>
      <c s="54" r="J21"/>
      <c s="54" r="K21"/>
      <c s="54" r="L21"/>
      <c s="54" r="M21"/>
      <c s="54" r="N21"/>
      <c s="54" r="O21"/>
      <c s="54" r="P21"/>
      <c s="54" r="Q21"/>
      <c s="54" r="R21"/>
      <c s="54" r="S21"/>
      <c s="54" r="T21"/>
      <c s="54" r="U21"/>
      <c s="54" r="V21"/>
      <c s="54" r="W21"/>
      <c s="54" r="X21"/>
      <c s="54" r="Y21"/>
      <c s="54" r="Z21"/>
      <c s="54" r="AA21"/>
      <c s="54" r="AB21"/>
      <c s="54" r="AC21"/>
      <c s="54" r="AD21"/>
      <c s="54" r="AE21"/>
      <c s="54" r="AF21"/>
      <c s="54" r="AG21"/>
      <c s="54" r="AH21"/>
      <c s="54" r="AI21"/>
      <c s="54" r="AJ21"/>
      <c s="54" r="AK21"/>
    </row>
    <row r="22">
      <c s="344" r="A22"/>
      <c s="344" r="B22"/>
      <c s="294" r="C22"/>
      <c s="26" r="D22"/>
      <c s="54" r="E22"/>
      <c s="54" r="F22"/>
      <c s="54" r="G22"/>
      <c s="54" r="H22"/>
      <c s="54" r="I22"/>
      <c s="54" r="J22"/>
      <c s="54" r="K22"/>
      <c s="54" r="L22"/>
      <c s="54" r="M22"/>
      <c s="54" r="N22"/>
      <c s="54" r="O22"/>
      <c s="54" r="P22"/>
      <c s="54" r="Q22"/>
      <c s="54" r="R22"/>
      <c s="54" r="S22"/>
      <c s="54" r="T22"/>
      <c s="54" r="U22"/>
      <c s="54" r="V22"/>
      <c s="54" r="W22"/>
      <c s="54" r="X22"/>
      <c s="54" r="Y22"/>
      <c s="54" r="Z22"/>
      <c s="54" r="AA22"/>
      <c s="54" r="AB22"/>
      <c s="54" r="AC22"/>
      <c s="54" r="AD22"/>
      <c s="54" r="AE22"/>
      <c s="54" r="AF22"/>
      <c s="54" r="AG22"/>
      <c s="54" r="AH22"/>
      <c s="54" r="AI22"/>
      <c s="54" r="AJ22"/>
      <c s="54" r="AK22"/>
    </row>
    <row r="23">
      <c s="344" r="A23"/>
      <c s="344" r="B23"/>
      <c s="294" r="C23"/>
      <c s="26" r="D23"/>
      <c s="54" r="E23"/>
      <c s="54" r="F23"/>
      <c s="54" r="G23"/>
      <c s="54" r="H23"/>
      <c s="54" r="I23"/>
      <c s="54" r="J23"/>
      <c s="54" r="K23"/>
      <c s="54" r="L23"/>
      <c s="54" r="M23"/>
      <c s="54" r="N23"/>
      <c s="54" r="O23"/>
      <c s="54" r="P23"/>
      <c s="54" r="Q23"/>
      <c s="54" r="R23"/>
      <c s="54" r="S23"/>
      <c s="54" r="T23"/>
      <c s="54" r="U23"/>
      <c s="54" r="V23"/>
      <c s="54" r="W23"/>
      <c s="54" r="X23"/>
      <c s="54" r="Y23"/>
      <c s="54" r="Z23"/>
      <c s="54" r="AA23"/>
      <c s="54" r="AB23"/>
      <c s="54" r="AC23"/>
      <c s="54" r="AD23"/>
      <c s="54" r="AE23"/>
      <c s="54" r="AF23"/>
      <c s="54" r="AG23"/>
      <c s="54" r="AH23"/>
      <c s="54" r="AI23"/>
      <c s="54" r="AJ23"/>
      <c s="54" r="AK23"/>
    </row>
    <row r="24">
      <c s="344" r="A24"/>
      <c s="344" r="B24"/>
      <c s="294" r="C24"/>
      <c s="26" r="D24"/>
      <c s="54" r="E24"/>
      <c s="54" r="F24"/>
      <c s="54" r="G24"/>
      <c s="54" r="H24"/>
      <c s="54" r="I24"/>
      <c s="54" r="J24"/>
      <c s="54" r="K24"/>
      <c s="54" r="L24"/>
      <c s="54" r="M24"/>
      <c s="54" r="N24"/>
      <c s="54" r="O24"/>
      <c s="54" r="P24"/>
      <c s="54" r="Q24"/>
      <c s="54" r="R24"/>
      <c s="54" r="S24"/>
      <c s="54" r="T24"/>
      <c s="54" r="U24"/>
      <c s="54" r="V24"/>
      <c s="54" r="W24"/>
      <c s="54" r="X24"/>
      <c s="54" r="Y24"/>
      <c s="54" r="Z24"/>
      <c s="54" r="AA24"/>
      <c s="54" r="AB24"/>
      <c s="54" r="AC24"/>
      <c s="54" r="AD24"/>
      <c s="54" r="AE24"/>
      <c s="54" r="AF24"/>
      <c s="54" r="AG24"/>
      <c s="54" r="AH24"/>
      <c s="54" r="AI24"/>
      <c s="54" r="AJ24"/>
      <c s="54" r="AK24"/>
    </row>
    <row r="25">
      <c t="s" s="179" r="A25">
        <v>306</v>
      </c>
      <c t="s" s="121" r="B25">
        <v>307</v>
      </c>
      <c s="415" r="C25"/>
      <c s="26" r="D25"/>
      <c s="54" r="E25"/>
      <c s="54" r="F25"/>
      <c s="54" r="G25"/>
      <c s="54" r="H25"/>
      <c s="54" r="I25"/>
      <c s="54" r="J25"/>
      <c s="54" r="K25"/>
      <c s="54" r="L25"/>
      <c s="54" r="M25"/>
      <c s="54" r="N25"/>
      <c s="54" r="O25"/>
      <c s="54" r="P25"/>
      <c s="54" r="Q25"/>
      <c s="54" r="R25"/>
      <c s="54" r="S25"/>
      <c s="54" r="T25"/>
      <c s="54" r="U25"/>
      <c s="54" r="V25"/>
      <c s="54" r="W25"/>
      <c s="54" r="X25"/>
      <c s="54" r="Y25"/>
      <c s="54" r="Z25"/>
      <c s="54" r="AA25"/>
      <c s="54" r="AB25"/>
      <c s="54" r="AC25"/>
      <c s="54" r="AD25"/>
      <c s="54" r="AE25"/>
      <c s="54" r="AF25"/>
      <c s="54" r="AG25"/>
      <c s="54" r="AH25"/>
      <c s="54" r="AI25"/>
      <c s="54" r="AJ25"/>
      <c s="54" r="AK25"/>
    </row>
    <row r="26">
      <c t="str" s="191" r="A26">
        <f>'Unit Prices'!E110</f>
        <v>TIER 0 Response Time Tier</v>
      </c>
      <c s="80" r="B26">
        <f>'Unit Prices'!I110</f>
        <v>1.5</v>
      </c>
      <c s="294" r="C26"/>
      <c s="26" r="D26"/>
      <c s="54" r="E26"/>
      <c s="54" r="F26"/>
      <c s="54" r="G26"/>
      <c s="54" r="H26"/>
      <c s="54" r="I26"/>
      <c s="54" r="J26"/>
      <c s="54" r="K26"/>
      <c s="54" r="L26"/>
      <c s="54" r="M26"/>
      <c s="54" r="N26"/>
      <c s="54" r="O26"/>
      <c s="54" r="P26"/>
      <c s="54" r="Q26"/>
      <c s="54" r="R26"/>
      <c s="54" r="S26"/>
      <c s="54" r="T26"/>
      <c s="54" r="U26"/>
      <c s="54" r="V26"/>
      <c s="54" r="W26"/>
      <c s="54" r="X26"/>
      <c s="54" r="Y26"/>
      <c s="54" r="Z26"/>
      <c s="54" r="AA26"/>
      <c s="54" r="AB26"/>
      <c s="54" r="AC26"/>
      <c s="54" r="AD26"/>
      <c s="54" r="AE26"/>
      <c s="54" r="AF26"/>
      <c s="54" r="AG26"/>
      <c s="54" r="AH26"/>
      <c s="54" r="AI26"/>
      <c s="54" r="AJ26"/>
      <c s="54" r="AK26"/>
    </row>
    <row r="27">
      <c t="str" s="191" r="A27">
        <f>'Unit Prices'!E111</f>
        <v>TIER 1 Response Time Tier</v>
      </c>
      <c s="80" r="B27">
        <f>'Unit Prices'!I111</f>
        <v>1</v>
      </c>
      <c s="294" r="C27"/>
      <c s="26" r="D27"/>
      <c s="54" r="E27"/>
      <c s="54" r="F27"/>
      <c s="54" r="G27"/>
      <c s="54" r="H27"/>
      <c s="54" r="I27"/>
      <c s="54" r="J27"/>
      <c s="54" r="K27"/>
      <c s="54" r="L27"/>
      <c s="54" r="M27"/>
      <c s="54" r="N27"/>
      <c s="54" r="O27"/>
      <c s="54" r="P27"/>
      <c s="54" r="Q27"/>
      <c s="54" r="R27"/>
      <c s="54" r="S27"/>
      <c s="54" r="T27"/>
      <c s="54" r="U27"/>
      <c s="54" r="V27"/>
      <c s="54" r="W27"/>
      <c s="54" r="X27"/>
      <c s="54" r="Y27"/>
      <c s="54" r="Z27"/>
      <c s="54" r="AA27"/>
      <c s="54" r="AB27"/>
      <c s="54" r="AC27"/>
      <c s="54" r="AD27"/>
      <c s="54" r="AE27"/>
      <c s="54" r="AF27"/>
      <c s="54" r="AG27"/>
      <c s="54" r="AH27"/>
      <c s="54" r="AI27"/>
      <c s="54" r="AJ27"/>
      <c s="54" r="AK27"/>
    </row>
    <row r="28">
      <c t="str" s="191" r="A28">
        <f>'Unit Prices'!E112</f>
        <v>TIER 2 Response Time Tier</v>
      </c>
      <c s="80" r="B28">
        <f>'Unit Prices'!I112</f>
        <v>0.5</v>
      </c>
      <c s="294" r="C28"/>
      <c t="str" s="140" r="D28">
        <f>IF((D27=A15),"X","")</f>
        <v/>
      </c>
      <c s="54" r="E28"/>
      <c s="54" r="F28"/>
      <c s="54" r="G28"/>
      <c s="54" r="H28"/>
      <c s="54" r="I28"/>
      <c s="54" r="J28"/>
      <c s="54" r="K28"/>
      <c s="54" r="L28"/>
      <c s="54" r="M28"/>
      <c s="54" r="N28"/>
      <c s="54" r="O28"/>
      <c s="54" r="P28"/>
      <c s="54" r="Q28"/>
      <c s="54" r="R28"/>
      <c s="54" r="S28"/>
      <c s="54" r="T28"/>
      <c s="54" r="U28"/>
      <c s="54" r="V28"/>
      <c s="54" r="W28"/>
      <c s="54" r="X28"/>
      <c s="54" r="Y28"/>
      <c s="54" r="Z28"/>
      <c s="54" r="AA28"/>
      <c s="54" r="AB28"/>
      <c s="54" r="AC28"/>
      <c s="54" r="AD28"/>
      <c s="54" r="AE28"/>
      <c s="54" r="AF28"/>
      <c s="54" r="AG28"/>
      <c s="54" r="AH28"/>
      <c s="54" r="AI28"/>
      <c s="54" r="AJ28"/>
      <c s="54" r="AK28"/>
    </row>
    <row r="29">
      <c s="191" r="A29"/>
      <c s="80" r="B29"/>
      <c s="294" r="C29"/>
      <c s="26" r="D29"/>
      <c s="54" r="E29"/>
      <c s="54" r="F29"/>
      <c s="54" r="G29"/>
      <c s="54" r="H29"/>
      <c s="54" r="I29"/>
      <c s="54" r="J29"/>
      <c s="54" r="K29"/>
      <c s="54" r="L29"/>
      <c s="54" r="M29"/>
      <c s="54" r="N29"/>
      <c s="54" r="O29"/>
      <c s="54" r="P29"/>
      <c s="54" r="Q29"/>
      <c s="54" r="R29"/>
      <c s="54" r="S29"/>
      <c s="54" r="T29"/>
      <c s="54" r="U29"/>
      <c s="54" r="V29"/>
      <c s="54" r="W29"/>
      <c s="54" r="X29"/>
      <c s="54" r="Y29"/>
      <c s="54" r="Z29"/>
      <c s="54" r="AA29"/>
      <c s="54" r="AB29"/>
      <c s="54" r="AC29"/>
      <c s="54" r="AD29"/>
      <c s="54" r="AE29"/>
      <c s="54" r="AF29"/>
      <c s="54" r="AG29"/>
      <c s="54" r="AH29"/>
      <c s="54" r="AI29"/>
      <c s="54" r="AJ29"/>
      <c s="54" r="AK29"/>
    </row>
    <row r="30">
      <c t="s" s="371" r="A30">
        <v>308</v>
      </c>
      <c t="s" s="121" r="B30">
        <v>307</v>
      </c>
      <c s="294" r="C30"/>
      <c s="26" r="D30"/>
      <c s="54" r="E30"/>
      <c s="54" r="F30"/>
      <c s="54" r="G30"/>
      <c s="54" r="H30"/>
      <c s="54" r="I30"/>
      <c s="54" r="J30"/>
      <c s="54" r="K30"/>
      <c s="54" r="L30"/>
      <c s="54" r="M30"/>
      <c s="54" r="N30"/>
      <c s="54" r="O30"/>
      <c s="54" r="P30"/>
      <c s="54" r="Q30"/>
      <c s="54" r="R30"/>
      <c s="54" r="S30"/>
      <c s="54" r="T30"/>
      <c s="54" r="U30"/>
      <c s="54" r="V30"/>
      <c s="54" r="W30"/>
      <c s="54" r="X30"/>
      <c s="54" r="Y30"/>
      <c s="54" r="Z30"/>
      <c s="54" r="AA30"/>
      <c s="54" r="AB30"/>
      <c s="54" r="AC30"/>
      <c s="54" r="AD30"/>
      <c s="54" r="AE30"/>
      <c s="54" r="AF30"/>
      <c s="54" r="AG30"/>
      <c s="54" r="AH30"/>
      <c s="54" r="AI30"/>
      <c s="54" r="AJ30"/>
      <c s="54" r="AK30"/>
    </row>
    <row r="31">
      <c t="str" s="191" r="A31">
        <f>'Unit Prices'!E117</f>
        <v>Data-at-rest Encryption</v>
      </c>
      <c s="80" r="B31">
        <f>'Unit Prices'!I117</f>
        <v>0.25</v>
      </c>
      <c s="294" r="C31"/>
      <c s="26" r="D31"/>
      <c s="54" r="E31"/>
      <c s="54" r="F31"/>
      <c s="54" r="G31"/>
      <c s="54" r="H31"/>
      <c s="54" r="I31"/>
      <c s="54" r="J31"/>
      <c s="54" r="K31"/>
      <c s="54" r="L31"/>
      <c s="54" r="M31"/>
      <c s="54" r="N31"/>
      <c s="54" r="O31"/>
      <c s="54" r="P31"/>
      <c s="54" r="Q31"/>
      <c s="54" r="R31"/>
      <c s="54" r="S31"/>
      <c s="54" r="T31"/>
      <c s="54" r="U31"/>
      <c s="54" r="V31"/>
      <c s="54" r="W31"/>
      <c s="54" r="X31"/>
      <c s="54" r="Y31"/>
      <c s="54" r="Z31"/>
      <c s="54" r="AA31"/>
      <c s="54" r="AB31"/>
      <c s="54" r="AC31"/>
      <c s="54" r="AD31"/>
      <c s="54" r="AE31"/>
      <c s="54" r="AF31"/>
      <c s="54" r="AG31"/>
      <c s="54" r="AH31"/>
      <c s="54" r="AI31"/>
      <c s="54" r="AJ31"/>
      <c s="54" r="AK31"/>
    </row>
    <row customHeight="1" r="32" ht="15.0">
      <c s="270" r="A32"/>
      <c s="206" r="B32"/>
      <c s="120" r="C32"/>
      <c s="26" r="D32"/>
      <c s="54" r="E32"/>
      <c s="54" r="F32"/>
      <c s="54" r="G32"/>
      <c s="54" r="H32"/>
      <c s="54" r="I32"/>
      <c s="54" r="J32"/>
      <c s="54" r="K32"/>
      <c s="54" r="L32"/>
      <c s="54" r="M32"/>
      <c s="54" r="N32"/>
      <c s="54" r="O32"/>
      <c s="54" r="P32"/>
      <c s="54" r="Q32"/>
      <c s="54" r="R32"/>
      <c s="54" r="S32"/>
      <c s="54" r="T32"/>
      <c s="54" r="U32"/>
      <c s="54" r="V32"/>
      <c s="54" r="W32"/>
      <c s="54" r="X32"/>
      <c s="54" r="Y32"/>
      <c s="54" r="Z32"/>
      <c s="54" r="AA32"/>
      <c s="54" r="AB32"/>
      <c s="54" r="AC32"/>
      <c s="54" r="AD32"/>
      <c s="54" r="AE32"/>
      <c s="54" r="AF32"/>
      <c s="54" r="AG32"/>
      <c s="54" r="AH32"/>
      <c s="54" r="AI32"/>
      <c s="54" r="AJ32"/>
      <c s="54" r="AK32"/>
    </row>
    <row r="33">
      <c s="300" r="A33"/>
      <c s="300" r="B33"/>
      <c s="300" r="C33"/>
      <c s="54" r="D33"/>
      <c s="54" r="E33"/>
      <c s="54" r="F33"/>
      <c s="54" r="G33"/>
      <c s="54" r="H33"/>
      <c s="54" r="I33"/>
      <c s="54" r="J33"/>
      <c s="54" r="K33"/>
      <c s="54" r="L33"/>
      <c s="54" r="M33"/>
      <c s="54" r="N33"/>
      <c s="54" r="O33"/>
      <c s="54" r="P33"/>
      <c s="54" r="Q33"/>
      <c s="54" r="R33"/>
      <c s="54" r="S33"/>
      <c s="54" r="T33"/>
      <c s="54" r="U33"/>
      <c s="54" r="V33"/>
      <c s="54" r="W33"/>
      <c s="54" r="X33"/>
      <c s="54" r="Y33"/>
      <c s="54" r="Z33"/>
      <c s="54" r="AA33"/>
      <c s="54" r="AB33"/>
      <c s="54" r="AC33"/>
      <c s="54" r="AD33"/>
      <c s="54" r="AE33"/>
      <c s="54" r="AF33"/>
      <c s="54" r="AG33"/>
      <c s="54" r="AH33"/>
      <c s="54" r="AI33"/>
      <c s="54" r="AJ33"/>
      <c s="54" r="AK33"/>
    </row>
    <row r="34">
      <c t="s" s="233" r="A34">
        <v>309</v>
      </c>
      <c s="54" r="B34"/>
      <c s="54" r="C34"/>
      <c s="233" r="D34"/>
      <c s="233" r="E34"/>
      <c s="54" r="F34"/>
      <c s="54" r="G34"/>
      <c s="54" r="H34"/>
      <c s="54" r="I34"/>
      <c s="54" r="J34"/>
      <c s="54" r="K34"/>
      <c s="54" r="L34"/>
      <c s="54" r="M34"/>
      <c s="54" r="N34"/>
      <c s="54" r="O34"/>
      <c s="54" r="P34"/>
      <c s="54" r="Q34"/>
      <c s="54" r="R34"/>
      <c s="54" r="S34"/>
      <c s="54" r="T34"/>
      <c s="54" r="U34"/>
      <c s="54" r="V34"/>
      <c s="54" r="W34"/>
      <c s="54" r="X34"/>
      <c s="54" r="Y34"/>
      <c s="54" r="Z34"/>
      <c s="54" r="AA34"/>
      <c s="54" r="AB34"/>
      <c s="54" r="AC34"/>
      <c s="54" r="AD34"/>
      <c s="54" r="AE34"/>
      <c s="54" r="AF34"/>
      <c s="54" r="AG34"/>
      <c s="54" r="AH34"/>
      <c s="54" r="AI34"/>
      <c s="54" r="AJ34"/>
      <c s="54" r="AK34"/>
    </row>
    <row r="35">
      <c t="s" s="233" r="A35">
        <v>310</v>
      </c>
      <c t="s" s="233" r="B35">
        <v>311</v>
      </c>
      <c s="54" r="C35"/>
      <c s="54" r="D35"/>
      <c s="54" r="E35"/>
      <c s="54" r="F35"/>
      <c s="54" r="G35"/>
      <c s="54" r="H35"/>
      <c s="54" r="I35"/>
      <c s="54" r="J35"/>
      <c s="54" r="K35"/>
      <c s="54" r="L35"/>
      <c s="54" r="M35"/>
      <c s="54" r="N35"/>
      <c s="54" r="O35"/>
      <c s="54" r="P35"/>
      <c s="54" r="Q35"/>
      <c s="54" r="R35"/>
      <c s="54" r="S35"/>
      <c s="54" r="T35"/>
      <c s="54" r="U35"/>
      <c s="54" r="V35"/>
      <c s="54" r="W35"/>
      <c s="54" r="X35"/>
      <c s="54" r="Y35"/>
      <c s="54" r="Z35"/>
      <c s="54" r="AA35"/>
      <c s="54" r="AB35"/>
      <c s="54" r="AC35"/>
      <c s="54" r="AD35"/>
      <c s="54" r="AE35"/>
      <c s="54" r="AF35"/>
      <c s="54" r="AG35"/>
      <c s="54" r="AH35"/>
      <c s="54" r="AI35"/>
      <c s="54" r="AJ35"/>
      <c s="54" r="AK35"/>
    </row>
    <row r="36">
      <c t="s" s="241" r="A36">
        <v>312</v>
      </c>
      <c s="241" r="B36">
        <v>2</v>
      </c>
      <c s="54" r="C36"/>
      <c s="54" r="D36"/>
      <c s="54" r="E36"/>
      <c s="54" r="F36"/>
      <c s="54" r="G36"/>
      <c s="54" r="H36"/>
      <c s="54" r="I36"/>
      <c s="54" r="J36"/>
      <c s="54" r="K36"/>
      <c s="54" r="L36"/>
      <c s="54" r="M36"/>
      <c s="54" r="N36"/>
      <c s="54" r="O36"/>
      <c s="54" r="P36"/>
      <c s="54" r="Q36"/>
      <c s="54" r="R36"/>
      <c s="54" r="S36"/>
      <c s="54" r="T36"/>
      <c s="54" r="U36"/>
      <c s="54" r="V36"/>
      <c s="54" r="W36"/>
      <c s="54" r="X36"/>
      <c s="54" r="Y36"/>
      <c s="54" r="Z36"/>
      <c s="54" r="AA36"/>
      <c s="54" r="AB36"/>
      <c s="54" r="AC36"/>
      <c s="54" r="AD36"/>
      <c s="54" r="AE36"/>
      <c s="54" r="AF36"/>
      <c s="54" r="AG36"/>
      <c s="54" r="AH36"/>
      <c s="54" r="AI36"/>
      <c s="54" r="AJ36"/>
      <c s="54" r="AK36"/>
    </row>
    <row r="37">
      <c t="s" s="241" r="A37">
        <v>313</v>
      </c>
      <c s="241" r="B37">
        <v>6</v>
      </c>
      <c s="54" r="C37"/>
      <c s="54" r="D37"/>
      <c s="54" r="E37"/>
      <c s="54" r="F37"/>
      <c s="54" r="G37"/>
      <c s="54" r="H37"/>
      <c s="54" r="I37"/>
      <c s="54" r="J37"/>
      <c s="54" r="K37"/>
      <c s="54" r="L37"/>
      <c s="54" r="M37"/>
      <c s="54" r="N37"/>
      <c s="54" r="O37"/>
      <c s="54" r="P37"/>
      <c s="54" r="Q37"/>
      <c s="54" r="R37"/>
      <c s="54" r="S37"/>
      <c s="54" r="T37"/>
      <c s="54" r="U37"/>
      <c s="54" r="V37"/>
      <c s="54" r="W37"/>
      <c s="54" r="X37"/>
      <c s="54" r="Y37"/>
      <c s="54" r="Z37"/>
      <c s="54" r="AA37"/>
      <c s="54" r="AB37"/>
      <c s="54" r="AC37"/>
      <c s="54" r="AD37"/>
      <c s="54" r="AE37"/>
      <c s="54" r="AF37"/>
      <c s="54" r="AG37"/>
      <c s="54" r="AH37"/>
      <c s="54" r="AI37"/>
      <c s="54" r="AJ37"/>
      <c s="54" r="AK37"/>
    </row>
    <row r="38">
      <c t="s" s="241" r="A38">
        <v>314</v>
      </c>
      <c s="241" r="B38">
        <v>4</v>
      </c>
      <c s="54" r="C38"/>
      <c s="54" r="D38"/>
      <c s="54" r="E38"/>
      <c s="54" r="F38"/>
      <c s="54" r="G38"/>
      <c s="54" r="H38"/>
      <c s="54" r="I38"/>
      <c s="54" r="J38"/>
      <c s="54" r="K38"/>
      <c s="54" r="L38"/>
      <c s="54" r="M38"/>
      <c s="54" r="N38"/>
      <c s="54" r="O38"/>
      <c s="54" r="P38"/>
      <c s="54" r="Q38"/>
      <c s="54" r="R38"/>
      <c s="54" r="S38"/>
      <c s="54" r="T38"/>
      <c s="54" r="U38"/>
      <c s="54" r="V38"/>
      <c s="54" r="W38"/>
      <c s="54" r="X38"/>
      <c s="54" r="Y38"/>
      <c s="54" r="Z38"/>
      <c s="54" r="AA38"/>
      <c s="54" r="AB38"/>
      <c s="54" r="AC38"/>
      <c s="54" r="AD38"/>
      <c s="54" r="AE38"/>
      <c s="54" r="AF38"/>
      <c s="54" r="AG38"/>
      <c s="54" r="AH38"/>
      <c s="54" r="AI38"/>
      <c s="54" r="AJ38"/>
      <c s="54" r="AK38"/>
    </row>
    <row r="39">
      <c t="s" s="241" r="A39">
        <v>315</v>
      </c>
      <c s="241" r="B39">
        <v>5</v>
      </c>
      <c s="54" r="C39"/>
      <c s="54" r="D39"/>
      <c s="54" r="E39"/>
      <c s="54" r="F39"/>
      <c s="54" r="G39"/>
      <c s="54" r="H39"/>
      <c s="54" r="I39"/>
      <c s="54" r="J39"/>
      <c s="54" r="K39"/>
      <c s="54" r="L39"/>
      <c s="54" r="M39"/>
      <c s="54" r="N39"/>
      <c s="54" r="O39"/>
      <c s="54" r="P39"/>
      <c s="54" r="Q39"/>
      <c s="54" r="R39"/>
      <c s="54" r="S39"/>
      <c s="54" r="T39"/>
      <c s="54" r="U39"/>
      <c s="54" r="V39"/>
      <c s="54" r="W39"/>
      <c s="54" r="X39"/>
      <c s="54" r="Y39"/>
      <c s="54" r="Z39"/>
      <c s="54" r="AA39"/>
      <c s="54" r="AB39"/>
      <c s="54" r="AC39"/>
      <c s="54" r="AD39"/>
      <c s="54" r="AE39"/>
      <c s="54" r="AF39"/>
      <c s="54" r="AG39"/>
      <c s="54" r="AH39"/>
      <c s="54" r="AI39"/>
      <c s="54" r="AJ39"/>
      <c s="54" r="AK39"/>
    </row>
    <row r="40">
      <c s="54" r="A40"/>
      <c s="54" r="B40"/>
      <c s="54" r="C40"/>
      <c s="54" r="D40"/>
      <c s="54" r="E40"/>
      <c s="54" r="F40"/>
      <c s="54" r="G40"/>
      <c s="54" r="H40"/>
      <c s="54" r="I40"/>
      <c s="54" r="J40"/>
      <c s="54" r="K40"/>
      <c s="54" r="L40"/>
      <c s="54" r="M40"/>
      <c s="54" r="N40"/>
      <c s="54" r="O40"/>
      <c s="54" r="P40"/>
      <c s="54" r="Q40"/>
      <c s="54" r="R40"/>
      <c s="54" r="S40"/>
      <c s="54" r="T40"/>
      <c s="54" r="U40"/>
      <c s="54" r="V40"/>
      <c s="54" r="W40"/>
      <c s="54" r="X40"/>
      <c s="54" r="Y40"/>
      <c s="54" r="Z40"/>
      <c s="54" r="AA40"/>
      <c s="54" r="AB40"/>
      <c s="54" r="AC40"/>
      <c s="54" r="AD40"/>
      <c s="54" r="AE40"/>
      <c s="54" r="AF40"/>
      <c s="54" r="AG40"/>
      <c s="54" r="AH40"/>
      <c s="54" r="AI40"/>
      <c s="54" r="AJ40"/>
      <c s="54" r="AK40"/>
    </row>
    <row r="41">
      <c s="54" r="A41"/>
      <c s="116" r="B41"/>
      <c s="54" r="C41"/>
      <c s="54" r="D41"/>
      <c s="54" r="E41"/>
      <c s="54" r="F41"/>
      <c s="54" r="G41"/>
      <c s="54" r="H41"/>
      <c s="54" r="I41"/>
      <c s="54" r="J41"/>
      <c s="54" r="K41"/>
      <c s="54" r="L41"/>
      <c s="54" r="M41"/>
      <c s="54" r="N41"/>
      <c s="54" r="O41"/>
      <c s="54" r="P41"/>
      <c s="54" r="Q41"/>
      <c s="54" r="R41"/>
      <c s="54" r="S41"/>
      <c s="54" r="T41"/>
      <c s="54" r="U41"/>
      <c s="54" r="V41"/>
      <c s="54" r="W41"/>
      <c s="54" r="X41"/>
      <c s="54" r="Y41"/>
      <c s="54" r="Z41"/>
      <c s="54" r="AA41"/>
      <c s="54" r="AB41"/>
      <c s="54" r="AC41"/>
      <c s="54" r="AD41"/>
      <c s="54" r="AE41"/>
      <c s="54" r="AF41"/>
      <c s="54" r="AG41"/>
      <c s="54" r="AH41"/>
      <c s="54" r="AI41"/>
      <c s="54" r="AJ41"/>
      <c s="54" r="AK41"/>
    </row>
    <row r="42">
      <c t="s" s="241" r="A42">
        <v>316</v>
      </c>
      <c s="241" r="B42">
        <f>VLOOKUP(Calculator!E38, CalculatorDetails!A36:B40, 2)</f>
        <v>5</v>
      </c>
      <c s="54" r="C42"/>
      <c s="54" r="D42"/>
      <c s="54" r="E42"/>
      <c s="54" r="F42"/>
      <c s="54" r="G42"/>
      <c s="54" r="H42"/>
      <c s="54" r="I42"/>
      <c s="54" r="J42"/>
      <c s="54" r="K42"/>
      <c s="54" r="L42"/>
      <c s="54" r="M42"/>
      <c s="54" r="N42"/>
      <c s="54" r="O42"/>
      <c s="54" r="P42"/>
      <c s="54" r="Q42"/>
      <c s="54" r="R42"/>
      <c s="54" r="S42"/>
      <c s="54" r="T42"/>
      <c s="54" r="U42"/>
      <c s="54" r="V42"/>
      <c s="54" r="W42"/>
      <c s="54" r="X42"/>
      <c s="54" r="Y42"/>
      <c s="54" r="Z42"/>
      <c s="54" r="AA42"/>
      <c s="54" r="AB42"/>
      <c s="54" r="AC42"/>
      <c s="54" r="AD42"/>
      <c s="54" r="AE42"/>
      <c s="54" r="AF42"/>
      <c s="54" r="AG42"/>
      <c s="54" r="AH42"/>
      <c s="54" r="AI42"/>
      <c s="54" r="AJ42"/>
      <c s="54" r="AK42"/>
    </row>
    <row r="43">
      <c t="s" s="241" r="A43">
        <v>317</v>
      </c>
      <c s="241" r="B43">
        <f>IF(ISNA(VLOOKUP(Calculator!D43, CalculatorDetails!A11:F21, B42, FALSE)), 0, VLOOKUP(Calculator!D43, CalculatorDetails!A11:F21, B42, FALSE))</f>
        <v>0.623</v>
      </c>
      <c s="54" r="C43"/>
      <c s="54" r="D43"/>
      <c s="54" r="E43"/>
      <c s="54" r="F43"/>
      <c s="54" r="G43"/>
      <c s="54" r="H43"/>
      <c s="54" r="I43"/>
      <c s="54" r="J43"/>
      <c s="54" r="K43"/>
      <c s="54" r="L43"/>
      <c s="54" r="M43"/>
      <c s="54" r="N43"/>
      <c s="54" r="O43"/>
      <c s="54" r="P43"/>
      <c s="54" r="Q43"/>
      <c s="54" r="R43"/>
      <c s="54" r="S43"/>
      <c s="54" r="T43"/>
      <c s="54" r="U43"/>
      <c s="54" r="V43"/>
      <c s="54" r="W43"/>
      <c s="54" r="X43"/>
      <c s="54" r="Y43"/>
      <c s="54" r="Z43"/>
      <c s="54" r="AA43"/>
      <c s="54" r="AB43"/>
      <c s="54" r="AC43"/>
      <c s="54" r="AD43"/>
      <c s="54" r="AE43"/>
      <c s="54" r="AF43"/>
      <c s="54" r="AG43"/>
      <c s="54" r="AH43"/>
      <c s="54" r="AI43"/>
      <c s="54" r="AJ43"/>
      <c s="54" r="AK43"/>
    </row>
    <row r="44">
      <c t="s" s="241" r="A44">
        <v>318</v>
      </c>
      <c s="241" r="B44">
        <f>IF(ISNA(VLOOKUP(Calculator!D47, CalculatorDetails!A11:F21, B42, FALSE)), 0, VLOOKUP(Calculator!D47, CalculatorDetails!A11:F21, B42, FALSE))</f>
        <v>14.6125</v>
      </c>
      <c s="54" r="C44"/>
      <c s="54" r="D44"/>
      <c s="54" r="E44"/>
      <c s="54" r="F44"/>
      <c s="54" r="G44"/>
      <c s="54" r="H44"/>
      <c s="54" r="I44"/>
      <c s="54" r="J44"/>
      <c s="54" r="K44"/>
      <c s="54" r="L44"/>
      <c s="54" r="M44"/>
      <c s="54" r="N44"/>
      <c s="54" r="O44"/>
      <c s="54" r="P44"/>
      <c s="54" r="Q44"/>
      <c s="54" r="R44"/>
      <c s="54" r="S44"/>
      <c s="54" r="T44"/>
      <c s="54" r="U44"/>
      <c s="54" r="V44"/>
      <c s="54" r="W44"/>
      <c s="54" r="X44"/>
      <c s="54" r="Y44"/>
      <c s="54" r="Z44"/>
      <c s="54" r="AA44"/>
      <c s="54" r="AB44"/>
      <c s="54" r="AC44"/>
      <c s="54" r="AD44"/>
      <c s="54" r="AE44"/>
      <c s="54" r="AF44"/>
      <c s="54" r="AG44"/>
      <c s="54" r="AH44"/>
      <c s="54" r="AI44"/>
      <c s="54" r="AJ44"/>
      <c s="54" r="AK44"/>
    </row>
    <row r="45">
      <c t="s" s="241" r="A45">
        <v>319</v>
      </c>
      <c s="241" r="B45">
        <f>IF(ISNA(VLOOKUP(Calculator!D51, CalculatorDetails!A11:F21, B42, FALSE)), 0, VLOOKUP(Calculator!D51, CalculatorDetails!A11:F21, B42, FALSE))</f>
        <v>0</v>
      </c>
      <c s="54" r="C45"/>
      <c s="54" r="D45"/>
      <c s="54" r="E45"/>
      <c s="54" r="F45"/>
      <c s="54" r="G45"/>
      <c s="54" r="H45"/>
      <c s="54" r="I45"/>
      <c s="54" r="J45"/>
      <c s="54" r="K45"/>
      <c s="54" r="L45"/>
      <c s="54" r="M45"/>
      <c s="54" r="N45"/>
      <c s="54" r="O45"/>
      <c s="54" r="P45"/>
      <c s="54" r="Q45"/>
      <c s="54" r="R45"/>
      <c s="54" r="S45"/>
      <c s="54" r="T45"/>
      <c s="54" r="U45"/>
      <c s="54" r="V45"/>
      <c s="54" r="W45"/>
      <c s="54" r="X45"/>
      <c s="54" r="Y45"/>
      <c s="54" r="Z45"/>
      <c s="54" r="AA45"/>
      <c s="54" r="AB45"/>
      <c s="54" r="AC45"/>
      <c s="54" r="AD45"/>
      <c s="54" r="AE45"/>
      <c s="54" r="AF45"/>
      <c s="54" r="AG45"/>
      <c s="54" r="AH45"/>
      <c s="54" r="AI45"/>
      <c s="54" r="AJ45"/>
      <c s="54" r="AK45"/>
    </row>
    <row r="46">
      <c t="s" s="241" r="A46">
        <v>320</v>
      </c>
      <c s="241" r="B46">
        <f>IF(ISNA(VLOOKUP(Calculator!D55, CalculatorDetails!A11:F21, B42, FALSE)), 0, VLOOKUP(Calculator!D55, CalculatorDetails!A11:F21, B42, FALSE))</f>
        <v>0</v>
      </c>
      <c s="54" r="C46"/>
      <c s="54" r="D46"/>
      <c s="54" r="E46"/>
      <c s="54" r="F46"/>
      <c s="54" r="G46"/>
      <c s="54" r="H46"/>
      <c s="54" r="I46"/>
      <c s="54" r="J46"/>
      <c s="54" r="K46"/>
      <c s="54" r="L46"/>
      <c s="54" r="M46"/>
      <c s="54" r="N46"/>
      <c s="54" r="O46"/>
      <c s="54" r="P46"/>
      <c s="54" r="Q46"/>
      <c s="54" r="R46"/>
      <c s="54" r="S46"/>
      <c s="54" r="T46"/>
      <c s="54" r="U46"/>
      <c s="54" r="V46"/>
      <c s="54" r="W46"/>
      <c s="54" r="X46"/>
      <c s="54" r="Y46"/>
      <c s="54" r="Z46"/>
      <c s="54" r="AA46"/>
      <c s="54" r="AB46"/>
      <c s="54" r="AC46"/>
      <c s="54" r="AD46"/>
      <c s="54" r="AE46"/>
      <c s="54" r="AF46"/>
      <c s="54" r="AG46"/>
      <c s="54" r="AH46"/>
      <c s="54" r="AI46"/>
      <c s="54" r="AJ46"/>
      <c s="54" r="AK46"/>
    </row>
    <row r="47">
      <c t="s" s="241" r="A47">
        <v>321</v>
      </c>
      <c s="241" r="B47">
        <f>IF(ISNA(VLOOKUP(Calculator!D59, CalculatorDetails!A11:F21, B42, FALSE)), 0, VLOOKUP(Calculator!D59, CalculatorDetails!A11:F21, B42, FALSE))</f>
        <v>0</v>
      </c>
      <c s="54" r="C47"/>
      <c s="54" r="D47"/>
      <c s="54" r="E47"/>
      <c s="54" r="F47"/>
      <c s="54" r="G47"/>
      <c s="54" r="H47"/>
      <c s="54" r="I47"/>
      <c s="54" r="J47"/>
      <c s="54" r="K47"/>
      <c s="54" r="L47"/>
      <c s="54" r="M47"/>
      <c s="54" r="N47"/>
      <c s="54" r="O47"/>
      <c s="54" r="P47"/>
      <c s="54" r="Q47"/>
      <c s="54" r="R47"/>
      <c s="54" r="S47"/>
      <c s="54" r="T47"/>
      <c s="54" r="U47"/>
      <c s="54" r="V47"/>
      <c s="54" r="W47"/>
      <c s="54" r="X47"/>
      <c s="54" r="Y47"/>
      <c s="54" r="Z47"/>
      <c s="54" r="AA47"/>
      <c s="54" r="AB47"/>
      <c s="54" r="AC47"/>
      <c s="54" r="AD47"/>
      <c s="54" r="AE47"/>
      <c s="54" r="AF47"/>
      <c s="54" r="AG47"/>
      <c s="54" r="AH47"/>
      <c s="54" r="AI47"/>
      <c s="54" r="AJ47"/>
      <c s="54" r="AK47"/>
    </row>
    <row r="48">
      <c s="54" r="A48"/>
      <c s="54" r="B48"/>
      <c s="54" r="C48"/>
      <c s="54" r="D48"/>
      <c s="54" r="E48"/>
      <c s="54" r="F48"/>
      <c s="54" r="G48"/>
      <c s="54" r="H48"/>
      <c s="54" r="I48"/>
      <c s="54" r="J48"/>
      <c s="54" r="K48"/>
      <c s="54" r="L48"/>
      <c s="54" r="M48"/>
      <c s="54" r="N48"/>
      <c s="54" r="O48"/>
      <c s="54" r="P48"/>
      <c s="54" r="Q48"/>
      <c s="54" r="R48"/>
      <c s="54" r="S48"/>
      <c s="54" r="T48"/>
      <c s="54" r="U48"/>
      <c s="54" r="V48"/>
      <c s="54" r="W48"/>
      <c s="54" r="X48"/>
      <c s="54" r="Y48"/>
      <c s="54" r="Z48"/>
      <c s="54" r="AA48"/>
      <c s="54" r="AB48"/>
      <c s="54" r="AC48"/>
      <c s="54" r="AD48"/>
      <c s="54" r="AE48"/>
      <c s="54" r="AF48"/>
      <c s="54" r="AG48"/>
      <c s="54" r="AH48"/>
      <c s="54" r="AI48"/>
      <c s="54" r="AJ48"/>
      <c s="54" r="AK48"/>
    </row>
    <row r="49">
      <c s="54" r="A49"/>
      <c s="54" r="B49"/>
      <c s="54" r="C49"/>
      <c s="54" r="D49"/>
      <c s="54" r="E49"/>
      <c s="54" r="F49"/>
      <c s="54" r="G49"/>
      <c s="54" r="H49"/>
      <c s="54" r="I49"/>
      <c s="54" r="J49"/>
      <c s="54" r="K49"/>
      <c s="54" r="L49"/>
      <c s="54" r="M49"/>
      <c s="54" r="N49"/>
      <c s="54" r="O49"/>
      <c s="54" r="P49"/>
      <c s="54" r="Q49"/>
      <c s="54" r="R49"/>
      <c s="54" r="S49"/>
      <c s="54" r="T49"/>
      <c s="54" r="U49"/>
      <c s="54" r="V49"/>
      <c s="54" r="W49"/>
      <c s="54" r="X49"/>
      <c s="54" r="Y49"/>
      <c s="54" r="Z49"/>
      <c s="54" r="AA49"/>
      <c s="54" r="AB49"/>
      <c s="54" r="AC49"/>
      <c s="54" r="AD49"/>
      <c s="54" r="AE49"/>
      <c s="54" r="AF49"/>
      <c s="54" r="AG49"/>
      <c s="54" r="AH49"/>
      <c s="54" r="AI49"/>
      <c s="54" r="AJ49"/>
      <c s="54" r="AK49"/>
    </row>
    <row r="50">
      <c s="54" r="A50"/>
      <c s="54" r="B50"/>
      <c s="54" r="C50"/>
      <c s="54" r="D50"/>
      <c s="54" r="E50"/>
      <c s="54" r="F50"/>
      <c s="54" r="G50"/>
      <c s="54" r="H50"/>
      <c s="54" r="I50"/>
      <c s="54" r="J50"/>
      <c s="54" r="K50"/>
      <c s="54" r="L50"/>
      <c s="54" r="M50"/>
      <c s="54" r="N50"/>
      <c s="54" r="O50"/>
      <c s="54" r="P50"/>
      <c s="54" r="Q50"/>
      <c s="54" r="R50"/>
      <c s="54" r="S50"/>
      <c s="54" r="T50"/>
      <c s="54" r="U50"/>
      <c s="54" r="V50"/>
      <c s="54" r="W50"/>
      <c s="54" r="X50"/>
      <c s="54" r="Y50"/>
      <c s="54" r="Z50"/>
      <c s="54" r="AA50"/>
      <c s="54" r="AB50"/>
      <c s="54" r="AC50"/>
      <c s="54" r="AD50"/>
      <c s="54" r="AE50"/>
      <c s="54" r="AF50"/>
      <c s="54" r="AG50"/>
      <c s="54" r="AH50"/>
      <c s="54" r="AI50"/>
      <c s="54" r="AJ50"/>
      <c s="54" r="AK50"/>
    </row>
    <row r="51">
      <c s="54" r="A51"/>
      <c s="54" r="B51"/>
      <c s="54" r="C51"/>
      <c s="54" r="D51"/>
      <c s="54" r="E51"/>
      <c s="54" r="F51"/>
      <c s="54" r="G51"/>
      <c s="54" r="H51"/>
      <c s="54" r="I51"/>
      <c s="54" r="J51"/>
      <c s="54" r="K51"/>
      <c s="54" r="L51"/>
      <c s="54" r="M51"/>
      <c s="54" r="N51"/>
      <c s="54" r="O51"/>
      <c s="54" r="P51"/>
      <c s="54" r="Q51"/>
      <c s="54" r="R51"/>
      <c s="54" r="S51"/>
      <c s="54" r="T51"/>
      <c s="54" r="U51"/>
      <c s="54" r="V51"/>
      <c s="54" r="W51"/>
      <c s="54" r="X51"/>
      <c s="54" r="Y51"/>
      <c s="54" r="Z51"/>
      <c s="54" r="AA51"/>
      <c s="54" r="AB51"/>
      <c s="54" r="AC51"/>
      <c s="54" r="AD51"/>
      <c s="54" r="AE51"/>
      <c s="54" r="AF51"/>
      <c s="54" r="AG51"/>
      <c s="54" r="AH51"/>
      <c s="54" r="AI51"/>
      <c s="54" r="AJ51"/>
      <c s="54" r="AK51"/>
    </row>
    <row r="52">
      <c t="s" s="241" r="A52">
        <v>322</v>
      </c>
      <c s="144" r="B52">
        <v>0.2</v>
      </c>
      <c s="54" r="C52"/>
      <c s="54" r="D52"/>
      <c s="54" r="E52"/>
      <c s="54" r="F52"/>
      <c s="54" r="G52"/>
      <c s="54" r="H52"/>
      <c s="54" r="I52"/>
      <c s="54" r="J52"/>
      <c s="54" r="K52"/>
      <c s="54" r="L52"/>
      <c s="54" r="M52"/>
      <c s="54" r="N52"/>
      <c s="54" r="O52"/>
      <c s="54" r="P52"/>
      <c s="54" r="Q52"/>
      <c s="54" r="R52"/>
      <c s="54" r="S52"/>
      <c s="54" r="T52"/>
      <c s="54" r="U52"/>
      <c s="54" r="V52"/>
      <c s="54" r="W52"/>
      <c s="54" r="X52"/>
      <c s="54" r="Y52"/>
      <c s="54" r="Z52"/>
      <c s="54" r="AA52"/>
      <c s="54" r="AB52"/>
      <c s="54" r="AC52"/>
      <c s="54" r="AD52"/>
      <c s="54" r="AE52"/>
      <c s="54" r="AF52"/>
      <c s="54" r="AG52"/>
      <c s="54" r="AH52"/>
      <c s="54" r="AI52"/>
      <c s="54" r="AJ52"/>
      <c s="54" r="AK52"/>
    </row>
    <row r="53">
      <c t="s" s="241" r="A53">
        <v>323</v>
      </c>
      <c s="389" r="B53">
        <f>B52*(1-Calculator!D74)</f>
        <v>0.12</v>
      </c>
      <c s="54" r="C53"/>
      <c s="54" r="D53"/>
      <c s="54" r="E53"/>
      <c s="54" r="F53"/>
      <c s="54" r="G53"/>
      <c s="54" r="H53"/>
      <c s="54" r="I53"/>
      <c s="54" r="J53"/>
      <c s="54" r="K53"/>
      <c s="54" r="L53"/>
      <c s="54" r="M53"/>
      <c s="54" r="N53"/>
      <c s="54" r="O53"/>
      <c s="54" r="P53"/>
      <c s="54" r="Q53"/>
      <c s="54" r="R53"/>
      <c s="54" r="S53"/>
      <c s="54" r="T53"/>
      <c s="54" r="U53"/>
      <c s="54" r="V53"/>
      <c s="54" r="W53"/>
      <c s="54" r="X53"/>
      <c s="54" r="Y53"/>
      <c s="54" r="Z53"/>
      <c s="54" r="AA53"/>
      <c s="54" r="AB53"/>
      <c s="54" r="AC53"/>
      <c s="54" r="AD53"/>
      <c s="54" r="AE53"/>
      <c s="54" r="AF53"/>
      <c s="54" r="AG53"/>
      <c s="54" r="AH53"/>
      <c s="54" r="AI53"/>
      <c s="54" r="AJ53"/>
      <c s="54" r="AK53"/>
    </row>
    <row r="54">
      <c t="s" s="241" r="A54">
        <v>324</v>
      </c>
      <c s="54" r="B54"/>
      <c s="241" r="C54">
        <f>VLOOKUP(Calculator!D20,CalculatorDetails!D$53:E$56,2)</f>
        <v>0</v>
      </c>
      <c t="s" s="241" r="D54">
        <v>325</v>
      </c>
      <c s="241" r="E54">
        <v>1</v>
      </c>
      <c s="54" r="F54"/>
      <c s="54" r="G54"/>
      <c s="54" r="H54"/>
      <c s="54" r="I54"/>
      <c s="54" r="J54"/>
      <c s="54" r="K54"/>
      <c s="54" r="L54"/>
      <c s="54" r="M54"/>
      <c s="54" r="N54"/>
      <c s="54" r="O54"/>
      <c s="54" r="P54"/>
      <c s="54" r="Q54"/>
      <c s="54" r="R54"/>
      <c s="54" r="S54"/>
      <c s="54" r="T54"/>
      <c s="54" r="U54"/>
      <c s="54" r="V54"/>
      <c s="54" r="W54"/>
      <c s="54" r="X54"/>
      <c s="54" r="Y54"/>
      <c s="54" r="Z54"/>
      <c s="54" r="AA54"/>
      <c s="54" r="AB54"/>
      <c s="54" r="AC54"/>
      <c s="54" r="AD54"/>
      <c s="54" r="AE54"/>
      <c s="54" r="AF54"/>
      <c s="54" r="AG54"/>
      <c s="54" r="AH54"/>
      <c s="54" r="AI54"/>
      <c s="54" r="AJ54"/>
      <c s="54" r="AK54"/>
    </row>
    <row r="55">
      <c t="s" s="241" r="A55">
        <v>326</v>
      </c>
      <c s="54" r="B55"/>
      <c s="241" r="C55">
        <f>VLOOKUP(Calculator!D28,CalculatorDetails!D$53:E$56,2)</f>
        <v>2</v>
      </c>
      <c t="s" s="241" r="D55">
        <v>327</v>
      </c>
      <c s="241" r="E55">
        <v>0</v>
      </c>
      <c s="54" r="F55"/>
      <c s="54" r="G55"/>
      <c s="54" r="H55"/>
      <c s="54" r="I55"/>
      <c s="54" r="J55"/>
      <c s="54" r="K55"/>
      <c s="54" r="L55"/>
      <c s="54" r="M55"/>
      <c s="54" r="N55"/>
      <c s="54" r="O55"/>
      <c s="54" r="P55"/>
      <c s="54" r="Q55"/>
      <c s="54" r="R55"/>
      <c s="54" r="S55"/>
      <c s="54" r="T55"/>
      <c s="54" r="U55"/>
      <c s="54" r="V55"/>
      <c s="54" r="W55"/>
      <c s="54" r="X55"/>
      <c s="54" r="Y55"/>
      <c s="54" r="Z55"/>
      <c s="54" r="AA55"/>
      <c s="54" r="AB55"/>
      <c s="54" r="AC55"/>
      <c s="54" r="AD55"/>
      <c s="54" r="AE55"/>
      <c s="54" r="AF55"/>
      <c s="54" r="AG55"/>
      <c s="54" r="AH55"/>
      <c s="54" r="AI55"/>
      <c s="54" r="AJ55"/>
      <c s="54" r="AK55"/>
    </row>
    <row r="56">
      <c s="54" r="A56"/>
      <c s="54" r="B56"/>
      <c s="54" r="C56"/>
      <c t="s" s="241" r="D56">
        <v>328</v>
      </c>
      <c s="241" r="E56">
        <v>2</v>
      </c>
      <c s="54" r="F56"/>
      <c s="54" r="G56"/>
      <c s="54" r="H56"/>
      <c s="54" r="I56"/>
      <c s="54" r="J56"/>
      <c s="54" r="K56"/>
      <c s="54" r="L56"/>
      <c s="54" r="M56"/>
      <c s="54" r="N56"/>
      <c s="54" r="O56"/>
      <c s="54" r="P56"/>
      <c s="54" r="Q56"/>
      <c s="54" r="R56"/>
      <c s="54" r="S56"/>
      <c s="54" r="T56"/>
      <c s="54" r="U56"/>
      <c s="54" r="V56"/>
      <c s="54" r="W56"/>
      <c s="54" r="X56"/>
      <c s="54" r="Y56"/>
      <c s="54" r="Z56"/>
      <c s="54" r="AA56"/>
      <c s="54" r="AB56"/>
      <c s="54" r="AC56"/>
      <c s="54" r="AD56"/>
      <c s="54" r="AE56"/>
      <c s="54" r="AF56"/>
      <c s="54" r="AG56"/>
      <c s="54" r="AH56"/>
      <c s="54" r="AI56"/>
      <c s="54" r="AJ56"/>
      <c s="54" r="AK56"/>
    </row>
    <row r="57">
      <c t="s" s="233" r="A57">
        <v>329</v>
      </c>
      <c t="s" s="409" r="B57">
        <v>330</v>
      </c>
      <c t="s" s="409" r="C57">
        <v>331</v>
      </c>
      <c s="54" r="D57"/>
      <c s="54" r="E57"/>
      <c s="54" r="F57"/>
      <c s="54" r="G57"/>
      <c s="54" r="H57"/>
      <c s="54" r="I57"/>
      <c s="54" r="J57"/>
      <c s="54" r="K57"/>
      <c s="54" r="L57"/>
      <c s="54" r="M57"/>
      <c s="54" r="N57"/>
      <c s="54" r="O57"/>
      <c s="54" r="P57"/>
      <c s="54" r="Q57"/>
      <c s="54" r="R57"/>
      <c s="54" r="S57"/>
      <c s="54" r="T57"/>
      <c s="54" r="U57"/>
      <c s="54" r="V57"/>
      <c s="54" r="W57"/>
      <c s="54" r="X57"/>
      <c s="54" r="Y57"/>
      <c s="54" r="Z57"/>
      <c s="54" r="AA57"/>
      <c s="54" r="AB57"/>
      <c s="54" r="AC57"/>
      <c s="54" r="AD57"/>
      <c s="54" r="AE57"/>
      <c s="54" r="AF57"/>
      <c s="54" r="AG57"/>
      <c s="54" r="AH57"/>
      <c s="54" r="AI57"/>
      <c s="54" r="AJ57"/>
      <c s="54" r="AK57"/>
    </row>
    <row r="58">
      <c t="s" s="241" r="A58">
        <v>332</v>
      </c>
      <c s="354" r="B58">
        <f>IF((term_variable=0),0,((storage_capacity_end-storage_capacity_beginning)/(term_months-1)))</f>
        <v>0</v>
      </c>
      <c s="241" r="C58">
        <f>IF((term_variable=2), 0, 1)</f>
        <v>1</v>
      </c>
      <c s="54" r="D58"/>
      <c s="54" r="E58"/>
      <c s="54" r="F58"/>
      <c s="54" r="G58"/>
      <c s="54" r="H58"/>
      <c s="54" r="I58"/>
      <c s="54" r="J58"/>
      <c s="54" r="K58"/>
      <c s="54" r="L58"/>
      <c s="54" r="M58"/>
      <c s="54" r="N58"/>
      <c s="54" r="O58"/>
      <c s="54" r="P58"/>
      <c s="54" r="Q58"/>
      <c s="54" r="R58"/>
      <c s="54" r="S58"/>
      <c s="54" r="T58"/>
      <c s="54" r="U58"/>
      <c s="54" r="V58"/>
      <c s="54" r="W58"/>
      <c s="54" r="X58"/>
      <c s="54" r="Y58"/>
      <c s="54" r="Z58"/>
      <c s="54" r="AA58"/>
      <c s="54" r="AB58"/>
      <c s="54" r="AC58"/>
      <c s="54" r="AD58"/>
      <c s="54" r="AE58"/>
      <c s="54" r="AF58"/>
      <c s="54" r="AG58"/>
      <c s="54" r="AH58"/>
      <c s="54" r="AI58"/>
      <c s="54" r="AJ58"/>
      <c s="54" r="AK58"/>
    </row>
    <row r="59">
      <c t="s" s="241" r="A59">
        <v>333</v>
      </c>
      <c s="354" r="B59">
        <f>IF((term_variable_iops=0),0,((iops_end-iops)/(term_months-1)))</f>
        <v>28.5714285714286</v>
      </c>
      <c s="241" r="C59">
        <f>IF((term_variable_iops=2), 0, 1)</f>
        <v>0</v>
      </c>
      <c s="54" r="D59"/>
      <c s="54" r="E59"/>
      <c s="54" r="F59"/>
      <c s="54" r="G59"/>
      <c s="54" r="H59"/>
      <c s="54" r="I59"/>
      <c s="54" r="J59"/>
      <c s="54" r="K59"/>
      <c s="54" r="L59"/>
      <c s="54" r="M59"/>
      <c s="54" r="N59"/>
      <c s="54" r="O59"/>
      <c s="54" r="P59"/>
      <c s="54" r="Q59"/>
      <c s="54" r="R59"/>
      <c s="54" r="S59"/>
      <c s="54" r="T59"/>
      <c s="54" r="U59"/>
      <c s="54" r="V59"/>
      <c s="54" r="W59"/>
      <c s="54" r="X59"/>
      <c s="54" r="Y59"/>
      <c s="54" r="Z59"/>
      <c s="54" r="AA59"/>
      <c s="54" r="AB59"/>
      <c s="54" r="AC59"/>
      <c s="54" r="AD59"/>
      <c s="54" r="AE59"/>
      <c s="54" r="AF59"/>
      <c s="54" r="AG59"/>
      <c s="54" r="AH59"/>
      <c s="54" r="AI59"/>
      <c s="54" r="AJ59"/>
      <c s="54" r="AK59"/>
    </row>
    <row r="60">
      <c t="s" s="241" r="A60">
        <v>334</v>
      </c>
      <c t="s" s="116" r="B60">
        <v>335</v>
      </c>
      <c s="241" r="C60">
        <f>IF((term_variable=2), 1, 0)</f>
        <v>0</v>
      </c>
      <c s="54" r="D60"/>
      <c s="54" r="E60"/>
      <c s="54" r="F60"/>
      <c s="54" r="G60"/>
      <c s="54" r="H60"/>
      <c s="54" r="I60"/>
      <c s="54" r="J60"/>
      <c s="54" r="K60"/>
      <c s="54" r="L60"/>
      <c s="54" r="M60"/>
      <c s="54" r="N60"/>
      <c s="54" r="O60"/>
      <c s="54" r="P60"/>
      <c s="54" r="Q60"/>
      <c s="54" r="R60"/>
      <c s="54" r="S60"/>
      <c s="54" r="T60"/>
      <c s="54" r="U60"/>
      <c s="54" r="V60"/>
      <c s="54" r="W60"/>
      <c s="54" r="X60"/>
      <c s="54" r="Y60"/>
      <c s="54" r="Z60"/>
      <c s="54" r="AA60"/>
      <c s="54" r="AB60"/>
      <c s="54" r="AC60"/>
      <c s="54" r="AD60"/>
      <c s="54" r="AE60"/>
      <c s="54" r="AF60"/>
      <c s="54" r="AG60"/>
      <c s="54" r="AH60"/>
      <c s="54" r="AI60"/>
      <c s="54" r="AJ60"/>
      <c s="54" r="AK60"/>
    </row>
    <row r="61">
      <c t="s" s="241" r="A61">
        <v>336</v>
      </c>
      <c t="s" s="116" r="B61">
        <v>335</v>
      </c>
      <c s="241" r="C61">
        <f>IF((term_variable_iops=2), 1, 0)</f>
        <v>1</v>
      </c>
      <c s="54" r="D61"/>
      <c s="54" r="E61"/>
      <c s="54" r="F61"/>
      <c s="54" r="G61"/>
      <c s="54" r="H61"/>
      <c s="54" r="I61"/>
      <c s="54" r="J61"/>
      <c s="54" r="K61"/>
      <c s="54" r="L61"/>
      <c s="54" r="M61"/>
      <c s="54" r="N61"/>
      <c s="54" r="O61"/>
      <c s="54" r="P61"/>
      <c s="54" r="Q61"/>
      <c s="54" r="R61"/>
      <c s="54" r="S61"/>
      <c s="54" r="T61"/>
      <c s="54" r="U61"/>
      <c s="54" r="V61"/>
      <c s="54" r="W61"/>
      <c s="54" r="X61"/>
      <c s="54" r="Y61"/>
      <c s="54" r="Z61"/>
      <c s="54" r="AA61"/>
      <c s="54" r="AB61"/>
      <c s="54" r="AC61"/>
      <c s="54" r="AD61"/>
      <c s="54" r="AE61"/>
      <c s="54" r="AF61"/>
      <c s="54" r="AG61"/>
      <c s="54" r="AH61"/>
      <c s="54" r="AI61"/>
      <c s="54" r="AJ61"/>
      <c s="54" r="AK61"/>
    </row>
    <row r="62">
      <c s="233" r="A62"/>
      <c s="233" r="B62"/>
      <c s="54" r="C62"/>
      <c s="54" r="D62"/>
      <c s="54" r="E62"/>
      <c s="54" r="F62"/>
      <c s="54" r="G62"/>
      <c s="54" r="H62"/>
      <c s="54" r="I62"/>
      <c s="54" r="J62"/>
      <c s="54" r="K62"/>
      <c s="54" r="L62"/>
      <c s="54" r="M62"/>
      <c s="54" r="N62"/>
      <c s="54" r="O62"/>
      <c s="54" r="P62"/>
      <c s="54" r="Q62"/>
      <c s="54" r="R62"/>
      <c s="54" r="S62"/>
      <c s="54" r="T62"/>
      <c s="54" r="U62"/>
      <c s="54" r="V62"/>
      <c s="54" r="W62"/>
      <c s="54" r="X62"/>
      <c s="54" r="Y62"/>
      <c s="54" r="Z62"/>
      <c s="54" r="AA62"/>
      <c s="54" r="AB62"/>
      <c s="54" r="AC62"/>
      <c s="54" r="AD62"/>
      <c s="54" r="AE62"/>
      <c s="54" r="AF62"/>
      <c s="54" r="AG62"/>
      <c s="54" r="AH62"/>
      <c s="54" r="AI62"/>
      <c s="54" r="AJ62"/>
      <c s="54" r="AK62"/>
    </row>
    <row r="63">
      <c s="54" r="A63"/>
      <c s="54" r="B63"/>
      <c s="54" r="C63"/>
      <c s="54" r="D63"/>
      <c s="54" r="E63"/>
      <c s="54" r="F63"/>
      <c s="54" r="G63"/>
      <c s="54" r="H63"/>
      <c s="54" r="I63"/>
      <c s="54" r="J63"/>
      <c s="54" r="K63"/>
      <c s="54" r="L63"/>
      <c s="54" r="M63"/>
      <c s="54" r="N63"/>
      <c s="54" r="O63"/>
      <c s="54" r="P63"/>
      <c s="54" r="Q63"/>
      <c s="54" r="R63"/>
      <c s="54" r="S63"/>
      <c s="54" r="T63"/>
      <c s="54" r="U63"/>
      <c s="54" r="V63"/>
      <c s="54" r="W63"/>
      <c s="54" r="X63"/>
      <c s="54" r="Y63"/>
      <c s="54" r="Z63"/>
      <c s="54" r="AA63"/>
      <c s="54" r="AB63"/>
      <c s="54" r="AC63"/>
      <c s="54" r="AD63"/>
      <c s="54" r="AE63"/>
      <c s="54" r="AF63"/>
      <c s="54" r="AG63"/>
      <c s="54" r="AH63"/>
      <c s="54" r="AI63"/>
      <c s="54" r="AJ63"/>
      <c s="54" r="AK63"/>
    </row>
    <row s="6" customFormat="1" r="64">
      <c t="s" s="318" r="A64">
        <v>337</v>
      </c>
      <c s="6" r="B64">
        <f>IF((term_months&gt;B65), 1, 0)</f>
        <v>1</v>
      </c>
      <c s="6" r="C64">
        <f>IF((term_months&gt;C65), 1, 0)</f>
        <v>1</v>
      </c>
      <c s="6" r="D64">
        <f>IF((term_months&gt;D65), 1, 0)</f>
        <v>1</v>
      </c>
      <c s="6" r="E64">
        <f>IF((term_months&gt;E65), 1, 0)</f>
        <v>1</v>
      </c>
      <c s="6" r="F64">
        <f>IF((term_months&gt;F65), 1, 0)</f>
        <v>1</v>
      </c>
      <c s="6" r="G64">
        <f>IF((term_months&gt;G65), 1, 0)</f>
        <v>1</v>
      </c>
      <c s="6" r="H64">
        <f>IF((term_months&gt;H65), 1, 0)</f>
        <v>1</v>
      </c>
      <c s="6" r="I64">
        <f>IF((term_months&gt;I65), 1, 0)</f>
        <v>1</v>
      </c>
      <c s="6" r="J64">
        <f>IF((term_months&gt;J65), 1, 0)</f>
        <v>1</v>
      </c>
      <c s="6" r="K64">
        <f>IF((term_months&gt;K65), 1, 0)</f>
        <v>1</v>
      </c>
      <c s="6" r="L64">
        <f>IF((term_months&gt;L65), 1, 0)</f>
        <v>1</v>
      </c>
      <c s="6" r="M64">
        <f>IF((term_months&gt;M65), 1, 0)</f>
        <v>1</v>
      </c>
      <c s="6" r="N64">
        <f>IF((term_months&gt;N65), 1, 0)</f>
        <v>1</v>
      </c>
      <c s="6" r="O64">
        <f>IF((term_months&gt;O65), 1, 0)</f>
        <v>1</v>
      </c>
      <c s="6" r="P64">
        <f>IF((term_months&gt;P65), 1, 0)</f>
        <v>1</v>
      </c>
      <c s="6" r="Q64">
        <f>IF((term_months&gt;Q65), 1, 0)</f>
        <v>1</v>
      </c>
      <c s="6" r="R64">
        <f>IF((term_months&gt;R65), 1, 0)</f>
        <v>1</v>
      </c>
      <c s="6" r="S64">
        <f>IF((term_months&gt;S65), 1, 0)</f>
        <v>1</v>
      </c>
      <c s="6" r="T64">
        <f>IF((term_months&gt;T65), 1, 0)</f>
        <v>1</v>
      </c>
      <c s="6" r="U64">
        <f>IF((term_months&gt;U65), 1, 0)</f>
        <v>1</v>
      </c>
      <c s="6" r="V64">
        <f>IF((term_months&gt;V65), 1, 0)</f>
        <v>1</v>
      </c>
      <c s="6" r="W64">
        <f>IF((term_months&gt;W65), 1, 0)</f>
        <v>1</v>
      </c>
      <c s="6" r="X64">
        <f>IF((term_months&gt;X65), 1, 0)</f>
        <v>1</v>
      </c>
      <c s="6" r="Y64">
        <f>IF((term_months&gt;Y65), 1, 0)</f>
        <v>1</v>
      </c>
      <c s="6" r="Z64">
        <f>IF((term_months&gt;Z65), 1, 0)</f>
        <v>1</v>
      </c>
      <c s="6" r="AA64">
        <f>IF((term_months&gt;AA65), 1, 0)</f>
        <v>1</v>
      </c>
      <c s="6" r="AB64">
        <f>IF((term_months&gt;AB65), 1, 0)</f>
        <v>1</v>
      </c>
      <c s="6" r="AC64">
        <f>IF((term_months&gt;AC65), 1, 0)</f>
        <v>1</v>
      </c>
      <c s="6" r="AD64">
        <f>IF((term_months&gt;AD65), 1, 0)</f>
        <v>1</v>
      </c>
      <c s="6" r="AE64">
        <f>IF((term_months&gt;AE65), 1, 0)</f>
        <v>1</v>
      </c>
      <c s="6" r="AF64">
        <f>IF((term_months&gt;AF65), 1, 0)</f>
        <v>1</v>
      </c>
      <c s="6" r="AG64">
        <f>IF((term_months&gt;AG65), 1, 0)</f>
        <v>1</v>
      </c>
      <c s="6" r="AH64">
        <f>IF((term_months&gt;AH65), 1, 0)</f>
        <v>1</v>
      </c>
      <c s="6" r="AI64">
        <f>IF((term_months&gt;AI65), 1, 0)</f>
        <v>1</v>
      </c>
      <c s="6" r="AJ64">
        <f>IF((term_months&gt;AJ65), 1, 0)</f>
        <v>1</v>
      </c>
      <c s="6" r="AK64">
        <f>IF((term_months&gt;AK65), 1, 0)</f>
        <v>1</v>
      </c>
    </row>
    <row r="65">
      <c t="s" s="116" r="A65">
        <v>338</v>
      </c>
      <c s="241" r="B65">
        <v>0</v>
      </c>
      <c s="241" r="C65">
        <v>1</v>
      </c>
      <c s="241" r="D65">
        <v>2</v>
      </c>
      <c s="241" r="E65">
        <v>3</v>
      </c>
      <c s="241" r="F65">
        <v>4</v>
      </c>
      <c s="241" r="G65">
        <v>5</v>
      </c>
      <c s="241" r="H65">
        <v>6</v>
      </c>
      <c s="241" r="I65">
        <v>7</v>
      </c>
      <c s="241" r="J65">
        <v>8</v>
      </c>
      <c s="241" r="K65">
        <v>9</v>
      </c>
      <c s="241" r="L65">
        <v>10</v>
      </c>
      <c s="241" r="M65">
        <v>11</v>
      </c>
      <c s="241" r="N65">
        <v>12</v>
      </c>
      <c s="241" r="O65">
        <v>13</v>
      </c>
      <c s="241" r="P65">
        <v>14</v>
      </c>
      <c s="241" r="Q65">
        <v>15</v>
      </c>
      <c s="241" r="R65">
        <v>16</v>
      </c>
      <c s="241" r="S65">
        <v>17</v>
      </c>
      <c s="241" r="T65">
        <v>18</v>
      </c>
      <c s="241" r="U65">
        <v>19</v>
      </c>
      <c s="241" r="V65">
        <v>20</v>
      </c>
      <c s="241" r="W65">
        <v>21</v>
      </c>
      <c s="241" r="X65">
        <v>22</v>
      </c>
      <c s="241" r="Y65">
        <v>23</v>
      </c>
      <c s="241" r="Z65">
        <v>24</v>
      </c>
      <c s="241" r="AA65">
        <v>25</v>
      </c>
      <c s="241" r="AB65">
        <v>26</v>
      </c>
      <c s="241" r="AC65">
        <v>27</v>
      </c>
      <c s="241" r="AD65">
        <v>28</v>
      </c>
      <c s="241" r="AE65">
        <v>29</v>
      </c>
      <c s="241" r="AF65">
        <v>30</v>
      </c>
      <c s="241" r="AG65">
        <v>31</v>
      </c>
      <c s="241" r="AH65">
        <v>32</v>
      </c>
      <c s="241" r="AI65">
        <v>33</v>
      </c>
      <c s="241" r="AJ65">
        <v>34</v>
      </c>
      <c s="241" r="AK65">
        <v>35</v>
      </c>
    </row>
    <row r="66">
      <c t="s" s="116" r="A66">
        <v>237</v>
      </c>
      <c s="354" r="B66">
        <f>storage_capacity_beginning</f>
        <v>2000</v>
      </c>
      <c s="354" r="C66">
        <f>B66+(((storage_capacity_increase_every_month*$C$58)+((B66*storage_exponential_growth)*$C$60))*C64)</f>
        <v>2000</v>
      </c>
      <c s="354" r="D66">
        <f>C66+(((storage_capacity_increase_every_month*$C$58)+((C66*storage_exponential_growth)*$C$60))*D64)</f>
        <v>2000</v>
      </c>
      <c s="354" r="E66">
        <f>D66+(((storage_capacity_increase_every_month*$C$58)+((D66*storage_exponential_growth)*$C$60))*E64)</f>
        <v>2000</v>
      </c>
      <c s="354" r="F66">
        <f>E66+(((storage_capacity_increase_every_month*$C$58)+((E66*storage_exponential_growth)*$C$60))*F64)</f>
        <v>2000</v>
      </c>
      <c s="354" r="G66">
        <f>F66+(((storage_capacity_increase_every_month*$C$58)+((F66*storage_exponential_growth)*$C$60))*G64)</f>
        <v>2000</v>
      </c>
      <c s="354" r="H66">
        <f>G66+(((storage_capacity_increase_every_month*$C$58)+((G66*storage_exponential_growth)*$C$60))*H64)</f>
        <v>2000</v>
      </c>
      <c s="354" r="I66">
        <f>H66+(((storage_capacity_increase_every_month*$C$58)+((H66*storage_exponential_growth)*$C$60))*I64)</f>
        <v>2000</v>
      </c>
      <c s="354" r="J66">
        <f>I66+(((storage_capacity_increase_every_month*$C$58)+((I66*storage_exponential_growth)*$C$60))*J64)</f>
        <v>2000</v>
      </c>
      <c s="354" r="K66">
        <f>J66+(((storage_capacity_increase_every_month*$C$58)+((J66*storage_exponential_growth)*$C$60))*K64)</f>
        <v>2000</v>
      </c>
      <c s="354" r="L66">
        <f>K66+(((storage_capacity_increase_every_month*$C$58)+((K66*storage_exponential_growth)*$C$60))*L64)</f>
        <v>2000</v>
      </c>
      <c s="354" r="M66">
        <f>L66+(((storage_capacity_increase_every_month*$C$58)+((L66*storage_exponential_growth)*$C$60))*M64)</f>
        <v>2000</v>
      </c>
      <c s="354" r="N66">
        <f>M66+(((storage_capacity_increase_every_month*$C$58)+((M66*storage_exponential_growth)*$C$60))*N64)</f>
        <v>2000</v>
      </c>
      <c s="354" r="O66">
        <f>N66+(((storage_capacity_increase_every_month*$C$58)+((N66*storage_exponential_growth)*$C$60))*O64)</f>
        <v>2000</v>
      </c>
      <c s="354" r="P66">
        <f>O66+(((storage_capacity_increase_every_month*$C$58)+((O66*storage_exponential_growth)*$C$60))*P64)</f>
        <v>2000</v>
      </c>
      <c s="354" r="Q66">
        <f>P66+(((storage_capacity_increase_every_month*$C$58)+((P66*storage_exponential_growth)*$C$60))*Q64)</f>
        <v>2000</v>
      </c>
      <c s="354" r="R66">
        <f>Q66+(((storage_capacity_increase_every_month*$C$58)+((Q66*storage_exponential_growth)*$C$60))*R64)</f>
        <v>2000</v>
      </c>
      <c s="354" r="S66">
        <f>R66+(((storage_capacity_increase_every_month*$C$58)+((R66*storage_exponential_growth)*$C$60))*S64)</f>
        <v>2000</v>
      </c>
      <c s="354" r="T66">
        <f>S66+(((storage_capacity_increase_every_month*$C$58)+((S66*storage_exponential_growth)*$C$60))*T64)</f>
        <v>2000</v>
      </c>
      <c s="354" r="U66">
        <f>T66+(((storage_capacity_increase_every_month*$C$58)+((T66*storage_exponential_growth)*$C$60))*U64)</f>
        <v>2000</v>
      </c>
      <c s="354" r="V66">
        <f>U66+(((storage_capacity_increase_every_month*$C$58)+((U66*storage_exponential_growth)*$C$60))*V64)</f>
        <v>2000</v>
      </c>
      <c s="354" r="W66">
        <f>V66+(((storage_capacity_increase_every_month*$C$58)+((V66*storage_exponential_growth)*$C$60))*W64)</f>
        <v>2000</v>
      </c>
      <c s="354" r="X66">
        <f>W66+(((storage_capacity_increase_every_month*$C$58)+((W66*storage_exponential_growth)*$C$60))*X64)</f>
        <v>2000</v>
      </c>
      <c s="354" r="Y66">
        <f>X66+(((storage_capacity_increase_every_month*$C$58)+((X66*storage_exponential_growth)*$C$60))*Y64)</f>
        <v>2000</v>
      </c>
      <c s="354" r="Z66">
        <f>Y66+(((storage_capacity_increase_every_month*$C$58)+((Y66*storage_exponential_growth)*$C$60))*Z64)</f>
        <v>2000</v>
      </c>
      <c s="354" r="AA66">
        <f>Z66+(((storage_capacity_increase_every_month*$C$58)+((Z66*storage_exponential_growth)*$C$60))*AA64)</f>
        <v>2000</v>
      </c>
      <c s="354" r="AB66">
        <f>AA66+(((storage_capacity_increase_every_month*$C$58)+((AA66*storage_exponential_growth)*$C$60))*AB64)</f>
        <v>2000</v>
      </c>
      <c s="354" r="AC66">
        <f>AB66+(((storage_capacity_increase_every_month*$C$58)+((AB66*storage_exponential_growth)*$C$60))*AC64)</f>
        <v>2000</v>
      </c>
      <c s="354" r="AD66">
        <f>AC66+(((storage_capacity_increase_every_month*$C$58)+((AC66*storage_exponential_growth)*$C$60))*AD64)</f>
        <v>2000</v>
      </c>
      <c s="354" r="AE66">
        <f>AD66+(((storage_capacity_increase_every_month*$C$58)+((AD66*storage_exponential_growth)*$C$60))*AE64)</f>
        <v>2000</v>
      </c>
      <c s="354" r="AF66">
        <f>AE66+(((storage_capacity_increase_every_month*$C$58)+((AE66*storage_exponential_growth)*$C$60))*AF64)</f>
        <v>2000</v>
      </c>
      <c s="354" r="AG66">
        <f>AF66+(((storage_capacity_increase_every_month*$C$58)+((AF66*storage_exponential_growth)*$C$60))*AG64)</f>
        <v>2000</v>
      </c>
      <c s="354" r="AH66">
        <f>AG66+(((storage_capacity_increase_every_month*$C$58)+((AG66*storage_exponential_growth)*$C$60))*AH64)</f>
        <v>2000</v>
      </c>
      <c s="354" r="AI66">
        <f>AH66+(((storage_capacity_increase_every_month*$C$58)+((AH66*storage_exponential_growth)*$C$60))*AI64)</f>
        <v>2000</v>
      </c>
      <c s="354" r="AJ66">
        <f>AI66+(((storage_capacity_increase_every_month*$C$58)+((AI66*storage_exponential_growth)*$C$60))*AJ64)</f>
        <v>2000</v>
      </c>
      <c s="354" r="AK66">
        <f>AJ66+(((storage_capacity_increase_every_month*$C$58)+((AJ66*storage_exponential_growth)*$C$60))*AK64)</f>
        <v>2000</v>
      </c>
    </row>
    <row r="67">
      <c t="s" s="116" r="A67">
        <v>241</v>
      </c>
      <c s="354" r="B67">
        <f>iops</f>
        <v>1000</v>
      </c>
      <c s="354" r="C67">
        <f>B67+(((iops_increase_every_month*$C$59)+((iops_exponential_growth*B67)*$C$61))*C64)</f>
        <v>1020</v>
      </c>
      <c s="354" r="D67">
        <f>C67+(((iops_increase_every_month*$C$59)+((iops_exponential_growth*C67)*$C$61))*D64)</f>
        <v>1040.4</v>
      </c>
      <c s="354" r="E67">
        <f>D67+(((iops_increase_every_month*$C$59)+((iops_exponential_growth*D67)*$C$61))*E64)</f>
        <v>1061.208</v>
      </c>
      <c s="354" r="F67">
        <f>E67+(((iops_increase_every_month*$C$59)+((iops_exponential_growth*E67)*$C$61))*F64)</f>
        <v>1082.43216</v>
      </c>
      <c s="354" r="G67">
        <f>F67+(((iops_increase_every_month*$C$59)+((iops_exponential_growth*F67)*$C$61))*G64)</f>
        <v>1104.0808032</v>
      </c>
      <c s="354" r="H67">
        <f>G67+(((iops_increase_every_month*$C$59)+((iops_exponential_growth*G67)*$C$61))*H64)</f>
        <v>1126.162419264</v>
      </c>
      <c s="354" r="I67">
        <f>H67+(((iops_increase_every_month*$C$59)+((iops_exponential_growth*H67)*$C$61))*I64)</f>
        <v>1148.68566764928</v>
      </c>
      <c s="354" r="J67">
        <f>I67+(((iops_increase_every_month*$C$59)+((iops_exponential_growth*I67)*$C$61))*J64)</f>
        <v>1171.65938100227</v>
      </c>
      <c s="354" r="K67">
        <f>J67+(((iops_increase_every_month*$C$59)+((iops_exponential_growth*J67)*$C$61))*K64)</f>
        <v>1195.09256862231</v>
      </c>
      <c s="354" r="L67">
        <f>K67+(((iops_increase_every_month*$C$59)+((iops_exponential_growth*K67)*$C$61))*L64)</f>
        <v>1218.99441999476</v>
      </c>
      <c s="354" r="M67">
        <f>L67+(((iops_increase_every_month*$C$59)+((iops_exponential_growth*L67)*$C$61))*M64)</f>
        <v>1243.37430839465</v>
      </c>
      <c s="354" r="N67">
        <f>M67+(((iops_increase_every_month*$C$59)+((iops_exponential_growth*M67)*$C$61))*N64)</f>
        <v>1268.24179456255</v>
      </c>
      <c s="354" r="O67">
        <f>N67+(((iops_increase_every_month*$C$59)+((iops_exponential_growth*N67)*$C$61))*O64)</f>
        <v>1293.6066304538</v>
      </c>
      <c s="354" r="P67">
        <f>O67+(((iops_increase_every_month*$C$59)+((iops_exponential_growth*O67)*$C$61))*P64)</f>
        <v>1319.47876306287</v>
      </c>
      <c s="354" r="Q67">
        <f>P67+(((iops_increase_every_month*$C$59)+((iops_exponential_growth*P67)*$C$61))*Q64)</f>
        <v>1345.86833832413</v>
      </c>
      <c s="354" r="R67">
        <f>Q67+(((iops_increase_every_month*$C$59)+((iops_exponential_growth*Q67)*$C$61))*R64)</f>
        <v>1372.78570509061</v>
      </c>
      <c s="354" r="S67">
        <f>R67+(((iops_increase_every_month*$C$59)+((iops_exponential_growth*R67)*$C$61))*S64)</f>
        <v>1400.24141919242</v>
      </c>
      <c s="354" r="T67">
        <f>S67+(((iops_increase_every_month*$C$59)+((iops_exponential_growth*S67)*$C$61))*T64)</f>
        <v>1428.24624757627</v>
      </c>
      <c s="354" r="U67">
        <f>T67+(((iops_increase_every_month*$C$59)+((iops_exponential_growth*T67)*$C$61))*U64)</f>
        <v>1456.8111725278</v>
      </c>
      <c s="354" r="V67">
        <f>U67+(((iops_increase_every_month*$C$59)+((iops_exponential_growth*U67)*$C$61))*V64)</f>
        <v>1485.94739597835</v>
      </c>
      <c s="354" r="W67">
        <f>V67+(((iops_increase_every_month*$C$59)+((iops_exponential_growth*V67)*$C$61))*W64)</f>
        <v>1515.66634389792</v>
      </c>
      <c s="354" r="X67">
        <f>W67+(((iops_increase_every_month*$C$59)+((iops_exponential_growth*W67)*$C$61))*X64)</f>
        <v>1545.97967077588</v>
      </c>
      <c s="354" r="Y67">
        <f>X67+(((iops_increase_every_month*$C$59)+((iops_exponential_growth*X67)*$C$61))*Y64)</f>
        <v>1576.8992641914</v>
      </c>
      <c s="354" r="Z67">
        <f>Y67+(((iops_increase_every_month*$C$59)+((iops_exponential_growth*Y67)*$C$61))*Z64)</f>
        <v>1608.43724947522</v>
      </c>
      <c s="354" r="AA67">
        <f>Z67+(((iops_increase_every_month*$C$59)+((iops_exponential_growth*Z67)*$C$61))*AA64)</f>
        <v>1640.60599446473</v>
      </c>
      <c s="354" r="AB67">
        <f>AA67+(((iops_increase_every_month*$C$59)+((iops_exponential_growth*AA67)*$C$61))*AB64)</f>
        <v>1673.41811435402</v>
      </c>
      <c s="354" r="AC67">
        <f>AB67+(((iops_increase_every_month*$C$59)+((iops_exponential_growth*AB67)*$C$61))*AC64)</f>
        <v>1706.8864766411</v>
      </c>
      <c s="354" r="AD67">
        <f>AC67+(((iops_increase_every_month*$C$59)+((iops_exponential_growth*AC67)*$C$61))*AD64)</f>
        <v>1741.02420617393</v>
      </c>
      <c s="354" r="AE67">
        <f>AD67+(((iops_increase_every_month*$C$59)+((iops_exponential_growth*AD67)*$C$61))*AE64)</f>
        <v>1775.84469029741</v>
      </c>
      <c s="354" r="AF67">
        <f>AE67+(((iops_increase_every_month*$C$59)+((iops_exponential_growth*AE67)*$C$61))*AF64)</f>
        <v>1811.36158410335</v>
      </c>
      <c s="354" r="AG67">
        <f>AF67+(((iops_increase_every_month*$C$59)+((iops_exponential_growth*AF67)*$C$61))*AG64)</f>
        <v>1847.58881578542</v>
      </c>
      <c s="354" r="AH67">
        <f>AG67+(((iops_increase_every_month*$C$59)+((iops_exponential_growth*AG67)*$C$61))*AH64)</f>
        <v>1884.54059210113</v>
      </c>
      <c s="354" r="AI67">
        <f>AH67+(((iops_increase_every_month*$C$59)+((iops_exponential_growth*AH67)*$C$61))*AI64)</f>
        <v>1922.23140394315</v>
      </c>
      <c s="354" r="AJ67">
        <f>AI67+(((iops_increase_every_month*$C$59)+((iops_exponential_growth*AI67)*$C$61))*AJ64)</f>
        <v>1960.67603202201</v>
      </c>
      <c s="354" r="AK67">
        <f>AJ67+(((iops_increase_every_month*$C$59)+((iops_exponential_growth*AJ67)*$C$61))*AK64)</f>
        <v>1999.88955266245</v>
      </c>
    </row>
    <row r="68">
      <c t="s" s="116" r="A68">
        <v>339</v>
      </c>
      <c s="334" r="B68">
        <f>(B66+B67)</f>
        <v>3000</v>
      </c>
      <c s="334" r="C68">
        <f>(C66+C67)</f>
        <v>3020</v>
      </c>
      <c s="334" r="D68">
        <f>(D66+D67)</f>
        <v>3040.4</v>
      </c>
      <c s="334" r="E68">
        <f>(E66+E67)</f>
        <v>3061.208</v>
      </c>
      <c s="334" r="F68">
        <f>(F66+F67)</f>
        <v>3082.43216</v>
      </c>
      <c s="334" r="G68">
        <f>(G66+G67)</f>
        <v>3104.0808032</v>
      </c>
      <c s="334" r="H68">
        <f>(H66+H67)</f>
        <v>3126.162419264</v>
      </c>
      <c s="334" r="I68">
        <f>(I66+I67)</f>
        <v>3148.68566764928</v>
      </c>
      <c s="334" r="J68">
        <f>(J66+J67)</f>
        <v>3171.65938100227</v>
      </c>
      <c s="334" r="K68">
        <f>(K66+K67)</f>
        <v>3195.09256862231</v>
      </c>
      <c s="334" r="L68">
        <f>(L66+L67)</f>
        <v>3218.99441999476</v>
      </c>
      <c s="334" r="M68">
        <f>(M66+M67)</f>
        <v>3243.37430839465</v>
      </c>
      <c s="334" r="N68">
        <f>(N66+N67)</f>
        <v>3268.24179456254</v>
      </c>
      <c s="334" r="O68">
        <f>(O66+O67)</f>
        <v>3293.6066304538</v>
      </c>
      <c s="334" r="P68">
        <f>(P66+P67)</f>
        <v>3319.47876306287</v>
      </c>
      <c s="334" r="Q68">
        <f>(Q66+Q67)</f>
        <v>3345.86833832413</v>
      </c>
      <c s="334" r="R68">
        <f>(R66+R67)</f>
        <v>3372.78570509061</v>
      </c>
      <c s="334" r="S68">
        <f>(S66+S67)</f>
        <v>3400.24141919242</v>
      </c>
      <c s="334" r="T68">
        <f>(T66+T67)</f>
        <v>3428.24624757627</v>
      </c>
      <c s="334" r="U68">
        <f>(U66+U67)</f>
        <v>3456.8111725278</v>
      </c>
      <c s="334" r="V68">
        <f>(V66+V67)</f>
        <v>3485.94739597835</v>
      </c>
      <c s="334" r="W68">
        <f>(W66+W67)</f>
        <v>3515.66634389792</v>
      </c>
      <c s="334" r="X68">
        <f>(X66+X67)</f>
        <v>3545.97967077588</v>
      </c>
      <c s="334" r="Y68">
        <f>(Y66+Y67)</f>
        <v>3576.8992641914</v>
      </c>
      <c s="334" r="Z68">
        <f>(Z66+Z67)</f>
        <v>3608.43724947522</v>
      </c>
      <c s="334" r="AA68">
        <f>(AA66+AA67)</f>
        <v>3640.60599446473</v>
      </c>
      <c s="334" r="AB68">
        <f>(AB66+AB67)</f>
        <v>3673.41811435402</v>
      </c>
      <c s="334" r="AC68">
        <f>(AC66+AC67)</f>
        <v>3706.8864766411</v>
      </c>
      <c s="334" r="AD68">
        <f>(AD66+AD67)</f>
        <v>3741.02420617393</v>
      </c>
      <c s="334" r="AE68">
        <f>(AE66+AE67)</f>
        <v>3775.84469029741</v>
      </c>
      <c s="334" r="AF68">
        <f>(AF66+AF67)</f>
        <v>3811.36158410335</v>
      </c>
      <c s="334" r="AG68">
        <f>(AG66+AG67)</f>
        <v>3847.58881578542</v>
      </c>
      <c s="334" r="AH68">
        <f>(AH66+AH67)</f>
        <v>3884.54059210113</v>
      </c>
      <c s="334" r="AI68">
        <f>(AI66+AI67)</f>
        <v>3922.23140394315</v>
      </c>
      <c s="334" r="AJ68">
        <f>(AJ66+AJ67)</f>
        <v>3960.67603202201</v>
      </c>
      <c s="334" r="AK68">
        <f>(AK66+AK67)</f>
        <v>3999.88955266245</v>
      </c>
    </row>
    <row r="69">
      <c t="s" s="116" r="A69">
        <v>340</v>
      </c>
      <c s="64" r="B69">
        <f>(B66*storage_price_perGB_perMonth)*(1-storage_discount)</f>
        <v>250</v>
      </c>
      <c s="64" r="C69">
        <f>(C66*storage_price_perGB_perMonth)*(1-storage_discount)</f>
        <v>250</v>
      </c>
      <c s="64" r="D69">
        <f>(D66*storage_price_perGB_perMonth)*(1-storage_discount)</f>
        <v>250</v>
      </c>
      <c s="64" r="E69">
        <f>(E66*storage_price_perGB_perMonth)*(1-storage_discount)</f>
        <v>250</v>
      </c>
      <c s="64" r="F69">
        <f>(F66*storage_price_perGB_perMonth)*(1-storage_discount)</f>
        <v>250</v>
      </c>
      <c s="64" r="G69">
        <f>(G66*storage_price_perGB_perMonth)*(1-storage_discount)</f>
        <v>250</v>
      </c>
      <c s="64" r="H69">
        <f>(H66*storage_price_perGB_perMonth)*(1-storage_discount)</f>
        <v>250</v>
      </c>
      <c s="64" r="I69">
        <f>(I66*storage_price_perGB_perMonth)*(1-storage_discount)</f>
        <v>250</v>
      </c>
      <c s="64" r="J69">
        <f>(J66*storage_price_perGB_perMonth)*(1-storage_discount)</f>
        <v>250</v>
      </c>
      <c s="64" r="K69">
        <f>(K66*storage_price_perGB_perMonth)*(1-storage_discount)</f>
        <v>250</v>
      </c>
      <c s="64" r="L69">
        <f>(L66*storage_price_perGB_perMonth)*(1-storage_discount)</f>
        <v>250</v>
      </c>
      <c s="64" r="M69">
        <f>(M66*storage_price_perGB_perMonth)*(1-storage_discount)</f>
        <v>250</v>
      </c>
      <c s="64" r="N69">
        <f>(N66*storage_price_perGB_perMonth)*(1-storage_discount)</f>
        <v>250</v>
      </c>
      <c s="64" r="O69">
        <f>(O66*storage_price_perGB_perMonth)*(1-storage_discount)</f>
        <v>250</v>
      </c>
      <c s="64" r="P69">
        <f>(P66*storage_price_perGB_perMonth)*(1-storage_discount)</f>
        <v>250</v>
      </c>
      <c s="64" r="Q69">
        <f>(Q66*storage_price_perGB_perMonth)*(1-storage_discount)</f>
        <v>250</v>
      </c>
      <c s="64" r="R69">
        <f>(R66*storage_price_perGB_perMonth)*(1-storage_discount)</f>
        <v>250</v>
      </c>
      <c s="64" r="S69">
        <f>(S66*storage_price_perGB_perMonth)*(1-storage_discount)</f>
        <v>250</v>
      </c>
      <c s="64" r="T69">
        <f>(T66*storage_price_perGB_perMonth)*(1-storage_discount)</f>
        <v>250</v>
      </c>
      <c s="64" r="U69">
        <f>(U66*storage_price_perGB_perMonth)*(1-storage_discount)</f>
        <v>250</v>
      </c>
      <c s="64" r="V69">
        <f>(V66*storage_price_perGB_perMonth)*(1-storage_discount)</f>
        <v>250</v>
      </c>
      <c s="64" r="W69">
        <f>(W66*storage_price_perGB_perMonth)*(1-storage_discount)</f>
        <v>250</v>
      </c>
      <c s="64" r="X69">
        <f>(X66*storage_price_perGB_perMonth)*(1-storage_discount)</f>
        <v>250</v>
      </c>
      <c s="64" r="Y69">
        <f>(Y66*storage_price_perGB_perMonth)*(1-storage_discount)</f>
        <v>250</v>
      </c>
      <c s="64" r="Z69">
        <f>(Z66*storage_price_perGB_perMonth)*(1-storage_discount)</f>
        <v>250</v>
      </c>
      <c s="64" r="AA69">
        <f>(AA66*storage_price_perGB_perMonth)*(1-storage_discount)</f>
        <v>250</v>
      </c>
      <c s="64" r="AB69">
        <f>(AB66*storage_price_perGB_perMonth)*(1-storage_discount)</f>
        <v>250</v>
      </c>
      <c s="64" r="AC69">
        <f>(AC66*storage_price_perGB_perMonth)*(1-storage_discount)</f>
        <v>250</v>
      </c>
      <c s="64" r="AD69">
        <f>(AD66*storage_price_perGB_perMonth)*(1-storage_discount)</f>
        <v>250</v>
      </c>
      <c s="64" r="AE69">
        <f>(AE66*storage_price_perGB_perMonth)*(1-storage_discount)</f>
        <v>250</v>
      </c>
      <c s="64" r="AF69">
        <f>(AF66*storage_price_perGB_perMonth)*(1-storage_discount)</f>
        <v>250</v>
      </c>
      <c s="64" r="AG69">
        <f>(AG66*storage_price_perGB_perMonth)*(1-storage_discount)</f>
        <v>250</v>
      </c>
      <c s="64" r="AH69">
        <f>(AH66*storage_price_perGB_perMonth)*(1-storage_discount)</f>
        <v>250</v>
      </c>
      <c s="64" r="AI69">
        <f>(AI66*storage_price_perGB_perMonth)*(1-storage_discount)</f>
        <v>250</v>
      </c>
      <c s="64" r="AJ69">
        <f>(AJ66*storage_price_perGB_perMonth)*(1-storage_discount)</f>
        <v>250</v>
      </c>
      <c s="64" r="AK69">
        <f>(AK66*storage_price_perGB_perMonth)*(1-storage_discount)</f>
        <v>250</v>
      </c>
    </row>
    <row r="70">
      <c t="s" s="116" r="A70">
        <v>341</v>
      </c>
      <c s="64" r="B70">
        <f>(B67*iops_price_perIopsMonth)*(1-storage_discount)</f>
        <v>100</v>
      </c>
      <c s="64" r="C70">
        <f>(C67*iops_price_perIopsMonth)*(1-storage_discount)</f>
        <v>102</v>
      </c>
      <c s="64" r="D70">
        <f>(D67*iops_price_perIopsMonth)*(1-storage_discount)</f>
        <v>104.04</v>
      </c>
      <c s="64" r="E70">
        <f>(E67*iops_price_perIopsMonth)*(1-storage_discount)</f>
        <v>106.1208</v>
      </c>
      <c s="64" r="F70">
        <f>(F67*iops_price_perIopsMonth)*(1-storage_discount)</f>
        <v>108.243216</v>
      </c>
      <c s="64" r="G70">
        <f>(G67*iops_price_perIopsMonth)*(1-storage_discount)</f>
        <v>110.40808032</v>
      </c>
      <c s="64" r="H70">
        <f>(H67*iops_price_perIopsMonth)*(1-storage_discount)</f>
        <v>112.6162419264</v>
      </c>
      <c s="64" r="I70">
        <f>(I67*iops_price_perIopsMonth)*(1-storage_discount)</f>
        <v>114.868566764928</v>
      </c>
      <c s="64" r="J70">
        <f>(J67*iops_price_perIopsMonth)*(1-storage_discount)</f>
        <v>117.165938100227</v>
      </c>
      <c s="64" r="K70">
        <f>(K67*iops_price_perIopsMonth)*(1-storage_discount)</f>
        <v>119.509256862231</v>
      </c>
      <c s="64" r="L70">
        <f>(L67*iops_price_perIopsMonth)*(1-storage_discount)</f>
        <v>121.899441999476</v>
      </c>
      <c s="64" r="M70">
        <f>(M67*iops_price_perIopsMonth)*(1-storage_discount)</f>
        <v>124.337430839465</v>
      </c>
      <c s="64" r="N70">
        <f>(N67*iops_price_perIopsMonth)*(1-storage_discount)</f>
        <v>126.824179456255</v>
      </c>
      <c s="64" r="O70">
        <f>(O67*iops_price_perIopsMonth)*(1-storage_discount)</f>
        <v>129.36066304538</v>
      </c>
      <c s="64" r="P70">
        <f>(P67*iops_price_perIopsMonth)*(1-storage_discount)</f>
        <v>131.947876306287</v>
      </c>
      <c s="64" r="Q70">
        <f>(Q67*iops_price_perIopsMonth)*(1-storage_discount)</f>
        <v>134.586833832413</v>
      </c>
      <c s="64" r="R70">
        <f>(R67*iops_price_perIopsMonth)*(1-storage_discount)</f>
        <v>137.278570509061</v>
      </c>
      <c s="64" r="S70">
        <f>(S67*iops_price_perIopsMonth)*(1-storage_discount)</f>
        <v>140.024141919242</v>
      </c>
      <c s="64" r="T70">
        <f>(T67*iops_price_perIopsMonth)*(1-storage_discount)</f>
        <v>142.824624757627</v>
      </c>
      <c s="64" r="U70">
        <f>(U67*iops_price_perIopsMonth)*(1-storage_discount)</f>
        <v>145.68111725278</v>
      </c>
      <c s="64" r="V70">
        <f>(V67*iops_price_perIopsMonth)*(1-storage_discount)</f>
        <v>148.594739597835</v>
      </c>
      <c s="64" r="W70">
        <f>(W67*iops_price_perIopsMonth)*(1-storage_discount)</f>
        <v>151.566634389792</v>
      </c>
      <c s="64" r="X70">
        <f>(X67*iops_price_perIopsMonth)*(1-storage_discount)</f>
        <v>154.597967077588</v>
      </c>
      <c s="64" r="Y70">
        <f>(Y67*iops_price_perIopsMonth)*(1-storage_discount)</f>
        <v>157.68992641914</v>
      </c>
      <c s="64" r="Z70">
        <f>(Z67*iops_price_perIopsMonth)*(1-storage_discount)</f>
        <v>160.843724947523</v>
      </c>
      <c s="64" r="AA70">
        <f>(AA67*iops_price_perIopsMonth)*(1-storage_discount)</f>
        <v>164.060599446473</v>
      </c>
      <c s="64" r="AB70">
        <f>(AB67*iops_price_perIopsMonth)*(1-storage_discount)</f>
        <v>167.341811435402</v>
      </c>
      <c s="64" r="AC70">
        <f>(AC67*iops_price_perIopsMonth)*(1-storage_discount)</f>
        <v>170.68864766411</v>
      </c>
      <c s="64" r="AD70">
        <f>(AD67*iops_price_perIopsMonth)*(1-storage_discount)</f>
        <v>174.102420617393</v>
      </c>
      <c s="64" r="AE70">
        <f>(AE67*iops_price_perIopsMonth)*(1-storage_discount)</f>
        <v>177.584469029741</v>
      </c>
      <c s="64" r="AF70">
        <f>(AF67*iops_price_perIopsMonth)*(1-storage_discount)</f>
        <v>181.136158410335</v>
      </c>
      <c s="64" r="AG70">
        <f>(AG67*iops_price_perIopsMonth)*(1-storage_discount)</f>
        <v>184.758881578542</v>
      </c>
      <c s="64" r="AH70">
        <f>(AH67*iops_price_perIopsMonth)*(1-storage_discount)</f>
        <v>188.454059210113</v>
      </c>
      <c s="64" r="AI70">
        <f>(AI67*iops_price_perIopsMonth)*(1-storage_discount)</f>
        <v>192.223140394315</v>
      </c>
      <c s="64" r="AJ70">
        <f>(AJ67*iops_price_perIopsMonth)*(1-storage_discount)</f>
        <v>196.067603202201</v>
      </c>
      <c s="64" r="AK70">
        <f>(AK67*iops_price_perIopsMonth)*(1-storage_discount)</f>
        <v>199.988955266245</v>
      </c>
    </row>
    <row r="71">
      <c t="s" s="116" r="A71">
        <v>342</v>
      </c>
      <c s="64" r="B71">
        <f>(B69+B70)*response_time_tier_percent</f>
        <v>175</v>
      </c>
      <c s="64" r="C71">
        <f>(C69+C70)*response_time_tier_percent</f>
        <v>176</v>
      </c>
      <c s="64" r="D71">
        <f>(D69+D70)*response_time_tier_percent</f>
        <v>177.02</v>
      </c>
      <c s="64" r="E71">
        <f>(E69+E70)*response_time_tier_percent</f>
        <v>178.0604</v>
      </c>
      <c s="64" r="F71">
        <f>(F69+F70)*response_time_tier_percent</f>
        <v>179.121608</v>
      </c>
      <c s="64" r="G71">
        <f>(G69+G70)*response_time_tier_percent</f>
        <v>180.20404016</v>
      </c>
      <c s="64" r="H71">
        <f>(H69+H70)*response_time_tier_percent</f>
        <v>181.3081209632</v>
      </c>
      <c s="64" r="I71">
        <f>(I69+I70)*response_time_tier_percent</f>
        <v>182.434283382464</v>
      </c>
      <c s="64" r="J71">
        <f>(J69+J70)*response_time_tier_percent</f>
        <v>183.582969050113</v>
      </c>
      <c s="64" r="K71">
        <f>(K69+K70)*response_time_tier_percent</f>
        <v>184.754628431116</v>
      </c>
      <c s="64" r="L71">
        <f>(L69+L70)*response_time_tier_percent</f>
        <v>185.949720999738</v>
      </c>
      <c s="64" r="M71">
        <f>(M69+M70)*response_time_tier_percent</f>
        <v>187.168715419733</v>
      </c>
      <c s="64" r="N71">
        <f>(N69+N70)*response_time_tier_percent</f>
        <v>188.412089728127</v>
      </c>
      <c s="64" r="O71">
        <f>(O69+O70)*response_time_tier_percent</f>
        <v>189.68033152269</v>
      </c>
      <c s="64" r="P71">
        <f>(P69+P70)*response_time_tier_percent</f>
        <v>190.973938153144</v>
      </c>
      <c s="64" r="Q71">
        <f>(Q69+Q70)*response_time_tier_percent</f>
        <v>192.293416916206</v>
      </c>
      <c s="64" r="R71">
        <f>(R69+R70)*response_time_tier_percent</f>
        <v>193.639285254531</v>
      </c>
      <c s="64" r="S71">
        <f>(S69+S70)*response_time_tier_percent</f>
        <v>195.012070959621</v>
      </c>
      <c s="64" r="T71">
        <f>(T69+T70)*response_time_tier_percent</f>
        <v>196.412312378814</v>
      </c>
      <c s="64" r="U71">
        <f>(U69+U70)*response_time_tier_percent</f>
        <v>197.84055862639</v>
      </c>
      <c s="64" r="V71">
        <f>(V69+V70)*response_time_tier_percent</f>
        <v>199.297369798918</v>
      </c>
      <c s="64" r="W71">
        <f>(W69+W70)*response_time_tier_percent</f>
        <v>200.783317194896</v>
      </c>
      <c s="64" r="X71">
        <f>(X69+X70)*response_time_tier_percent</f>
        <v>202.298983538794</v>
      </c>
      <c s="64" r="Y71">
        <f>(Y69+Y70)*response_time_tier_percent</f>
        <v>203.84496320957</v>
      </c>
      <c s="64" r="Z71">
        <f>(Z69+Z70)*response_time_tier_percent</f>
        <v>205.421862473761</v>
      </c>
      <c s="64" r="AA71">
        <f>(AA69+AA70)*response_time_tier_percent</f>
        <v>207.030299723236</v>
      </c>
      <c s="64" r="AB71">
        <f>(AB69+AB70)*response_time_tier_percent</f>
        <v>208.670905717701</v>
      </c>
      <c s="64" r="AC71">
        <f>(AC69+AC70)*response_time_tier_percent</f>
        <v>210.344323832055</v>
      </c>
      <c s="64" r="AD71">
        <f>(AD69+AD70)*response_time_tier_percent</f>
        <v>212.051210308696</v>
      </c>
      <c s="64" r="AE71">
        <f>(AE69+AE70)*response_time_tier_percent</f>
        <v>213.79223451487</v>
      </c>
      <c s="64" r="AF71">
        <f>(AF69+AF70)*response_time_tier_percent</f>
        <v>215.568079205168</v>
      </c>
      <c s="64" r="AG71">
        <f>(AG69+AG70)*response_time_tier_percent</f>
        <v>217.379440789271</v>
      </c>
      <c s="64" r="AH71">
        <f>(AH69+AH70)*response_time_tier_percent</f>
        <v>219.227029605056</v>
      </c>
      <c s="64" r="AI71">
        <f>(AI69+AI70)*response_time_tier_percent</f>
        <v>221.111570197158</v>
      </c>
      <c s="64" r="AJ71">
        <f>(AJ69+AJ70)*response_time_tier_percent</f>
        <v>223.033801601101</v>
      </c>
      <c s="64" r="AK71">
        <f>(AK69+AK70)*response_time_tier_percent</f>
        <v>224.994477633123</v>
      </c>
    </row>
    <row r="72">
      <c t="s" s="116" r="A72">
        <v>343</v>
      </c>
      <c s="64" r="B72">
        <f>((B69+B70)+B71)*encryption_adder_percent</f>
        <v>131.25</v>
      </c>
      <c s="64" r="C72">
        <f>((C69+C70)+C71)*encryption_adder_percent</f>
        <v>132</v>
      </c>
      <c s="64" r="D72">
        <f>((D69+D70)+D71)*encryption_adder_percent</f>
        <v>132.765</v>
      </c>
      <c s="64" r="E72">
        <f>((E69+E70)+E71)*encryption_adder_percent</f>
        <v>133.5453</v>
      </c>
      <c s="64" r="F72">
        <f>((F69+F70)+F71)*encryption_adder_percent</f>
        <v>134.341206</v>
      </c>
      <c s="64" r="G72">
        <f>((G69+G70)+G71)*encryption_adder_percent</f>
        <v>135.15303012</v>
      </c>
      <c s="64" r="H72">
        <f>((H69+H70)+H71)*encryption_adder_percent</f>
        <v>135.9810907224</v>
      </c>
      <c s="64" r="I72">
        <f>((I69+I70)+I71)*encryption_adder_percent</f>
        <v>136.825712536848</v>
      </c>
      <c s="64" r="J72">
        <f>((J69+J70)+J71)*encryption_adder_percent</f>
        <v>137.687226787585</v>
      </c>
      <c s="64" r="K72">
        <f>((K69+K70)+K71)*encryption_adder_percent</f>
        <v>138.565971323337</v>
      </c>
      <c s="64" r="L72">
        <f>((L69+L70)+L71)*encryption_adder_percent</f>
        <v>139.462290749803</v>
      </c>
      <c s="64" r="M72">
        <f>((M69+M70)+M71)*encryption_adder_percent</f>
        <v>140.376536564799</v>
      </c>
      <c s="64" r="N72">
        <f>((N69+N70)+N71)*encryption_adder_percent</f>
        <v>141.309067296095</v>
      </c>
      <c s="64" r="O72">
        <f>((O69+O70)+O71)*encryption_adder_percent</f>
        <v>142.260248642017</v>
      </c>
      <c s="64" r="P72">
        <f>((P69+P70)+P71)*encryption_adder_percent</f>
        <v>143.230453614858</v>
      </c>
      <c s="64" r="Q72">
        <f>((Q69+Q70)+Q71)*encryption_adder_percent</f>
        <v>144.220062687155</v>
      </c>
      <c s="64" r="R72">
        <f>((R69+R70)+R71)*encryption_adder_percent</f>
        <v>145.229463940898</v>
      </c>
      <c s="64" r="S72">
        <f>((S69+S70)+S71)*encryption_adder_percent</f>
        <v>146.259053219716</v>
      </c>
      <c s="64" r="T72">
        <f>((T69+T70)+T71)*encryption_adder_percent</f>
        <v>147.30923428411</v>
      </c>
      <c s="64" r="U72">
        <f>((U69+U70)+U71)*encryption_adder_percent</f>
        <v>148.380418969792</v>
      </c>
      <c s="64" r="V72">
        <f>((V69+V70)+V71)*encryption_adder_percent</f>
        <v>149.473027349188</v>
      </c>
      <c s="64" r="W72">
        <f>((W69+W70)+W71)*encryption_adder_percent</f>
        <v>150.587487896172</v>
      </c>
      <c s="64" r="X72">
        <f>((X69+X70)+X71)*encryption_adder_percent</f>
        <v>151.724237654096</v>
      </c>
      <c s="64" r="Y72">
        <f>((Y69+Y70)+Y71)*encryption_adder_percent</f>
        <v>152.883722407177</v>
      </c>
      <c s="64" r="Z72">
        <f>((Z69+Z70)+Z71)*encryption_adder_percent</f>
        <v>154.066396855321</v>
      </c>
      <c s="64" r="AA72">
        <f>((AA69+AA70)+AA71)*encryption_adder_percent</f>
        <v>155.272724792427</v>
      </c>
      <c s="64" r="AB72">
        <f>((AB69+AB70)+AB71)*encryption_adder_percent</f>
        <v>156.503179288276</v>
      </c>
      <c s="64" r="AC72">
        <f>((AC69+AC70)+AC71)*encryption_adder_percent</f>
        <v>157.758242874041</v>
      </c>
      <c s="64" r="AD72">
        <f>((AD69+AD70)+AD71)*encryption_adder_percent</f>
        <v>159.038407731522</v>
      </c>
      <c s="64" r="AE72">
        <f>((AE69+AE70)+AE71)*encryption_adder_percent</f>
        <v>160.344175886153</v>
      </c>
      <c s="64" r="AF72">
        <f>((AF69+AF70)+AF71)*encryption_adder_percent</f>
        <v>161.676059403876</v>
      </c>
      <c s="64" r="AG72">
        <f>((AG69+AG70)+AG71)*encryption_adder_percent</f>
        <v>163.034580591953</v>
      </c>
      <c s="64" r="AH72">
        <f>((AH69+AH70)+AH71)*encryption_adder_percent</f>
        <v>164.420272203792</v>
      </c>
      <c s="64" r="AI72">
        <f>((AI69+AI70)+AI71)*encryption_adder_percent</f>
        <v>165.833677647868</v>
      </c>
      <c s="64" r="AJ72">
        <f>((AJ69+AJ70)+AJ71)*encryption_adder_percent</f>
        <v>167.275351200826</v>
      </c>
      <c s="64" r="AK72">
        <f>((AK69+AK70)+AK71)*encryption_adder_percent</f>
        <v>168.745858224842</v>
      </c>
    </row>
    <row r="73">
      <c s="54" r="A73"/>
      <c s="54" r="B73"/>
      <c s="54" r="C73"/>
      <c s="54" r="D73"/>
      <c s="54" r="E73"/>
      <c s="54" r="F73"/>
      <c s="54" r="G73"/>
      <c s="54" r="H73"/>
      <c s="54" r="I73"/>
      <c s="54" r="J73"/>
      <c s="54" r="K73"/>
      <c s="54" r="L73"/>
      <c s="54" r="M73"/>
      <c s="54" r="N73"/>
      <c s="54" r="O73"/>
      <c s="54" r="P73"/>
      <c s="54" r="Q73"/>
      <c s="54" r="R73"/>
      <c s="54" r="S73"/>
      <c s="54" r="T73"/>
      <c s="54" r="U73"/>
      <c s="54" r="V73"/>
      <c s="54" r="W73"/>
      <c s="54" r="X73"/>
      <c s="54" r="Y73"/>
      <c s="54" r="Z73"/>
      <c s="54" r="AA73"/>
      <c s="54" r="AB73"/>
      <c s="54" r="AC73"/>
      <c s="54" r="AD73"/>
      <c s="54" r="AE73"/>
      <c s="54" r="AF73"/>
      <c s="54" r="AG73"/>
      <c s="54" r="AH73"/>
      <c s="54" r="AI73"/>
      <c s="54" r="AJ73"/>
      <c s="54" r="AK73"/>
    </row>
    <row r="74">
      <c t="s" s="116" r="A74">
        <v>344</v>
      </c>
      <c s="144" r="B74">
        <f>storage_active_rate</f>
        <v>0.5</v>
      </c>
      <c s="54" r="C74"/>
      <c s="54" r="D74"/>
      <c s="54" r="E74"/>
      <c s="54" r="F74"/>
      <c s="54" r="G74"/>
      <c s="54" r="H74"/>
      <c s="54" r="I74"/>
      <c s="54" r="J74"/>
      <c s="54" r="K74"/>
      <c s="54" r="L74"/>
      <c s="54" r="M74"/>
      <c s="54" r="N74"/>
      <c s="54" r="O74"/>
      <c s="54" r="P74"/>
      <c s="54" r="Q74"/>
      <c s="54" r="R74"/>
      <c s="54" r="S74"/>
      <c s="54" r="T74"/>
      <c s="54" r="U74"/>
      <c s="54" r="V74"/>
      <c s="54" r="W74"/>
      <c s="54" r="X74"/>
      <c s="54" r="Y74"/>
      <c s="54" r="Z74"/>
      <c s="54" r="AA74"/>
      <c s="54" r="AB74"/>
      <c s="54" r="AC74"/>
      <c s="54" r="AD74"/>
      <c s="54" r="AE74"/>
      <c s="54" r="AF74"/>
      <c s="54" r="AG74"/>
      <c s="54" r="AH74"/>
      <c s="54" r="AI74"/>
      <c s="54" r="AJ74"/>
      <c s="54" r="AK74"/>
    </row>
    <row r="75">
      <c s="116" r="A75"/>
      <c s="144" r="B75"/>
      <c s="54" r="C75"/>
      <c s="54" r="D75"/>
      <c s="54" r="E75"/>
      <c s="54" r="F75"/>
      <c s="54" r="G75"/>
      <c s="54" r="H75"/>
      <c s="54" r="I75"/>
      <c s="54" r="J75"/>
      <c s="54" r="K75"/>
      <c s="54" r="L75"/>
      <c s="54" r="M75"/>
      <c s="54" r="N75"/>
      <c s="54" r="O75"/>
      <c s="54" r="P75"/>
      <c s="54" r="Q75"/>
      <c s="54" r="R75"/>
      <c s="54" r="S75"/>
      <c s="54" r="T75"/>
      <c s="54" r="U75"/>
      <c s="54" r="V75"/>
      <c s="54" r="W75"/>
      <c s="54" r="X75"/>
      <c s="54" r="Y75"/>
      <c s="54" r="Z75"/>
      <c s="54" r="AA75"/>
      <c s="54" r="AB75"/>
      <c s="54" r="AC75"/>
      <c s="54" r="AD75"/>
      <c s="54" r="AE75"/>
      <c s="54" r="AF75"/>
      <c s="54" r="AG75"/>
      <c s="54" r="AH75"/>
      <c s="54" r="AI75"/>
      <c s="54" r="AJ75"/>
      <c s="54" r="AK75"/>
    </row>
    <row r="76">
      <c s="116" r="A76"/>
      <c t="s" s="266" r="B76">
        <v>345</v>
      </c>
      <c t="s" s="409" r="C76">
        <v>346</v>
      </c>
      <c t="s" s="409" r="D76">
        <v>347</v>
      </c>
      <c s="54" r="E76"/>
      <c s="54" r="F76"/>
      <c s="54" r="G76"/>
      <c s="54" r="H76"/>
      <c s="54" r="I76"/>
      <c s="54" r="J76"/>
      <c s="54" r="K76"/>
      <c s="54" r="L76"/>
      <c s="54" r="M76"/>
      <c s="54" r="N76"/>
      <c s="54" r="O76"/>
      <c s="54" r="P76"/>
      <c s="54" r="Q76"/>
      <c s="54" r="R76"/>
      <c s="54" r="S76"/>
      <c s="54" r="T76"/>
      <c s="54" r="U76"/>
      <c s="54" r="V76"/>
      <c s="54" r="W76"/>
      <c s="54" r="X76"/>
      <c s="54" r="Y76"/>
      <c s="54" r="Z76"/>
      <c s="54" r="AA76"/>
      <c s="54" r="AB76"/>
      <c s="54" r="AC76"/>
      <c s="54" r="AD76"/>
      <c s="54" r="AE76"/>
      <c s="54" r="AF76"/>
      <c s="54" r="AG76"/>
      <c s="54" r="AH76"/>
      <c s="54" r="AI76"/>
      <c s="54" r="AJ76"/>
      <c s="54" r="AK76"/>
    </row>
    <row r="77">
      <c t="s" s="116" r="A77">
        <v>348</v>
      </c>
      <c s="89" r="B77">
        <f>AVERAGE(B66:M66)</f>
        <v>2000</v>
      </c>
      <c s="89" r="C77">
        <f>AVERAGE(N66:Y66)</f>
        <v>2000</v>
      </c>
      <c s="89" r="D77">
        <f>AVERAGE(Z66:AK66)</f>
        <v>2000</v>
      </c>
      <c s="54" r="E77"/>
      <c s="54" r="F77"/>
      <c s="54" r="G77"/>
      <c s="54" r="H77"/>
      <c s="54" r="I77"/>
      <c s="54" r="J77"/>
      <c s="54" r="K77"/>
      <c s="54" r="L77"/>
      <c s="54" r="M77"/>
      <c s="54" r="N77"/>
      <c s="54" r="O77"/>
      <c s="54" r="P77"/>
      <c s="54" r="Q77"/>
      <c s="54" r="R77"/>
      <c s="54" r="S77"/>
      <c s="54" r="T77"/>
      <c s="54" r="U77"/>
      <c s="54" r="V77"/>
      <c s="54" r="W77"/>
      <c s="54" r="X77"/>
      <c s="54" r="Y77"/>
      <c s="54" r="Z77"/>
      <c s="54" r="AA77"/>
      <c s="54" r="AB77"/>
      <c s="54" r="AC77"/>
      <c s="54" r="AD77"/>
      <c s="54" r="AE77"/>
      <c s="54" r="AF77"/>
      <c s="54" r="AG77"/>
      <c s="54" r="AH77"/>
      <c s="54" r="AI77"/>
      <c s="54" r="AJ77"/>
      <c s="54" r="AK77"/>
    </row>
    <row r="78">
      <c t="s" s="116" r="A78">
        <v>349</v>
      </c>
      <c s="89" r="B78">
        <f>AVERAGE(B67:M67)</f>
        <v>1117.67414401061</v>
      </c>
      <c s="89" r="C78">
        <f>AVERAGE(N67:Y67)</f>
        <v>1417.48106213617</v>
      </c>
      <c s="89" r="D78">
        <f>AVERAGE(Z67:AK67)</f>
        <v>1797.70872600199</v>
      </c>
      <c s="54" r="E78"/>
      <c s="54" r="F78"/>
      <c s="54" r="G78"/>
      <c s="54" r="H78"/>
      <c s="54" r="I78"/>
      <c s="54" r="J78"/>
      <c s="54" r="K78"/>
      <c s="54" r="L78"/>
      <c s="54" r="M78"/>
      <c s="54" r="N78"/>
      <c s="54" r="O78"/>
      <c s="54" r="P78"/>
      <c s="54" r="Q78"/>
      <c s="54" r="R78"/>
      <c s="54" r="S78"/>
      <c s="54" r="T78"/>
      <c s="54" r="U78"/>
      <c s="54" r="V78"/>
      <c s="54" r="W78"/>
      <c s="54" r="X78"/>
      <c s="54" r="Y78"/>
      <c s="54" r="Z78"/>
      <c s="54" r="AA78"/>
      <c s="54" r="AB78"/>
      <c s="54" r="AC78"/>
      <c s="54" r="AD78"/>
      <c s="54" r="AE78"/>
      <c s="54" r="AF78"/>
      <c s="54" r="AG78"/>
      <c s="54" r="AH78"/>
      <c s="54" r="AI78"/>
      <c s="54" r="AJ78"/>
      <c s="54" r="AK78"/>
    </row>
    <row r="79">
      <c t="s" s="116" r="A79">
        <v>350</v>
      </c>
      <c s="64" r="B79">
        <f>SUM(B69:M69)*storage_active_rate</f>
        <v>1500</v>
      </c>
      <c s="64" r="C79">
        <f>SUM(N69:Y69)*storage_active_rate</f>
        <v>1500</v>
      </c>
      <c s="64" r="D79">
        <f>SUM(Z69:AK69)*storage_active_rate</f>
        <v>1500</v>
      </c>
      <c s="54" r="E79"/>
      <c s="54" r="F79"/>
      <c s="54" r="G79"/>
      <c s="54" r="H79"/>
      <c s="54" r="I79"/>
      <c s="54" r="J79"/>
      <c s="54" r="K79"/>
      <c s="54" r="L79"/>
      <c s="54" r="M79"/>
      <c s="54" r="N79"/>
      <c s="54" r="O79"/>
      <c s="54" r="P79"/>
      <c s="54" r="Q79"/>
      <c s="54" r="R79"/>
      <c s="54" r="S79"/>
      <c s="54" r="T79"/>
      <c s="54" r="U79"/>
      <c s="54" r="V79"/>
      <c s="54" r="W79"/>
      <c s="54" r="X79"/>
      <c s="54" r="Y79"/>
      <c s="54" r="Z79"/>
      <c s="54" r="AA79"/>
      <c s="54" r="AB79"/>
      <c s="54" r="AC79"/>
      <c s="54" r="AD79"/>
      <c s="54" r="AE79"/>
      <c s="54" r="AF79"/>
      <c s="54" r="AG79"/>
      <c s="54" r="AH79"/>
      <c s="54" r="AI79"/>
      <c s="54" r="AJ79"/>
      <c s="54" r="AK79"/>
    </row>
    <row r="80">
      <c t="s" s="116" r="A80">
        <v>351</v>
      </c>
      <c s="64" r="B80">
        <f>SUM(B70:M70)*storage_active_rate</f>
        <v>670.604486406363</v>
      </c>
      <c s="64" r="C80">
        <f>SUM(N70:Y70)*storage_active_rate</f>
        <v>850.4886372817</v>
      </c>
      <c s="64" r="D80">
        <f>SUM(Z70:AK70)*storage_active_rate</f>
        <v>1078.6252356012</v>
      </c>
      <c s="54" r="E80"/>
      <c s="54" r="F80"/>
      <c s="54" r="G80"/>
      <c s="54" r="H80"/>
      <c s="54" r="I80"/>
      <c s="54" r="J80"/>
      <c s="54" r="K80"/>
      <c s="54" r="L80"/>
      <c s="54" r="M80"/>
      <c s="54" r="N80"/>
      <c s="54" r="O80"/>
      <c s="54" r="P80"/>
      <c s="54" r="Q80"/>
      <c s="54" r="R80"/>
      <c s="54" r="S80"/>
      <c s="54" r="T80"/>
      <c s="54" r="U80"/>
      <c s="54" r="V80"/>
      <c s="54" r="W80"/>
      <c s="54" r="X80"/>
      <c s="54" r="Y80"/>
      <c s="54" r="Z80"/>
      <c s="54" r="AA80"/>
      <c s="54" r="AB80"/>
      <c s="54" r="AC80"/>
      <c s="54" r="AD80"/>
      <c s="54" r="AE80"/>
      <c s="54" r="AF80"/>
      <c s="54" r="AG80"/>
      <c s="54" r="AH80"/>
      <c s="54" r="AI80"/>
      <c s="54" r="AJ80"/>
      <c s="54" r="AK80"/>
    </row>
    <row r="81">
      <c t="s" s="116" r="A81">
        <v>352</v>
      </c>
      <c s="64" r="B81">
        <f>SUM(B71:M71)*storage_active_rate</f>
        <v>1085.30224320318</v>
      </c>
      <c s="64" r="C81">
        <f>SUM(N71:Y71)*storage_active_rate</f>
        <v>1175.24431864085</v>
      </c>
      <c s="64" r="D81">
        <f>SUM(Z71:AK71)*storage_active_rate</f>
        <v>1289.3126178006</v>
      </c>
      <c s="54" r="E81"/>
      <c s="54" r="F81"/>
      <c s="54" r="G81"/>
      <c s="54" r="H81"/>
      <c s="54" r="I81"/>
      <c s="54" r="J81"/>
      <c s="54" r="K81"/>
      <c s="54" r="L81"/>
      <c s="54" r="M81"/>
      <c s="54" r="N81"/>
      <c s="54" r="O81"/>
      <c s="54" r="P81"/>
      <c s="54" r="Q81"/>
      <c s="54" r="R81"/>
      <c s="54" r="S81"/>
      <c s="54" r="T81"/>
      <c s="54" r="U81"/>
      <c s="54" r="V81"/>
      <c s="54" r="W81"/>
      <c s="54" r="X81"/>
      <c s="54" r="Y81"/>
      <c s="54" r="Z81"/>
      <c s="54" r="AA81"/>
      <c s="54" r="AB81"/>
      <c s="54" r="AC81"/>
      <c s="54" r="AD81"/>
      <c s="54" r="AE81"/>
      <c s="54" r="AF81"/>
      <c s="54" r="AG81"/>
      <c s="54" r="AH81"/>
      <c s="54" r="AI81"/>
      <c s="54" r="AJ81"/>
      <c s="54" r="AK81"/>
    </row>
    <row r="82">
      <c t="s" s="116" r="A82">
        <v>353</v>
      </c>
      <c s="64" r="B82">
        <f>SUM(B72:M72)*storage_active_rate</f>
        <v>813.976682402386</v>
      </c>
      <c s="64" r="C82">
        <f>SUM(N72:Y72)*storage_active_rate</f>
        <v>881.433238980638</v>
      </c>
      <c s="64" r="D82">
        <f>SUM(Z72:AK72)*storage_active_rate</f>
        <v>966.984463350449</v>
      </c>
      <c s="54" r="E82"/>
      <c s="54" r="F82"/>
      <c s="54" r="G82"/>
      <c s="54" r="H82"/>
      <c s="54" r="I82"/>
      <c s="54" r="J82"/>
      <c s="54" r="K82"/>
      <c s="54" r="L82"/>
      <c s="54" r="M82"/>
      <c s="54" r="N82"/>
      <c s="54" r="O82"/>
      <c s="54" r="P82"/>
      <c s="54" r="Q82"/>
      <c s="54" r="R82"/>
      <c s="54" r="S82"/>
      <c s="54" r="T82"/>
      <c s="54" r="U82"/>
      <c s="54" r="V82"/>
      <c s="54" r="W82"/>
      <c s="54" r="X82"/>
      <c s="54" r="Y82"/>
      <c s="54" r="Z82"/>
      <c s="54" r="AA82"/>
      <c s="54" r="AB82"/>
      <c s="54" r="AC82"/>
      <c s="54" r="AD82"/>
      <c s="54" r="AE82"/>
      <c s="54" r="AF82"/>
      <c s="54" r="AG82"/>
      <c s="54" r="AH82"/>
      <c s="54" r="AI82"/>
      <c s="54" r="AJ82"/>
      <c s="54" r="AK82"/>
    </row>
    <row r="83">
      <c t="s" s="409" r="A83">
        <v>354</v>
      </c>
      <c s="196" r="B83">
        <f>SUM(B79:B82)</f>
        <v>4069.88341201193</v>
      </c>
      <c s="196" r="C83">
        <f>SUM(C79:C82)</f>
        <v>4407.16619490319</v>
      </c>
      <c s="196" r="D83">
        <f>SUM(D79:D82)</f>
        <v>4834.92231675224</v>
      </c>
      <c s="54" r="E83"/>
      <c s="54" r="F83"/>
      <c s="54" r="G83"/>
      <c s="54" r="H83"/>
      <c s="54" r="I83"/>
      <c s="54" r="J83"/>
      <c s="54" r="K83"/>
      <c s="54" r="L83"/>
      <c s="54" r="M83"/>
      <c s="54" r="N83"/>
      <c s="54" r="O83"/>
      <c s="54" r="P83"/>
      <c s="54" r="Q83"/>
      <c s="54" r="R83"/>
      <c s="54" r="S83"/>
      <c s="54" r="T83"/>
      <c s="54" r="U83"/>
      <c s="54" r="V83"/>
      <c s="54" r="W83"/>
      <c s="54" r="X83"/>
      <c s="54" r="Y83"/>
      <c s="54" r="Z83"/>
      <c s="54" r="AA83"/>
      <c s="54" r="AB83"/>
      <c s="54" r="AC83"/>
      <c s="54" r="AD83"/>
      <c s="54" r="AE83"/>
      <c s="54" r="AF83"/>
      <c s="54" r="AG83"/>
      <c s="54" r="AH83"/>
      <c s="54" r="AI83"/>
      <c s="54" r="AJ83"/>
      <c s="54" r="AK83"/>
    </row>
    <row r="84">
      <c s="54" r="A84"/>
      <c s="54" r="B84"/>
      <c s="54" r="C84"/>
      <c s="54" r="D84"/>
      <c s="54" r="E84"/>
      <c s="54" r="F84"/>
      <c s="54" r="G84"/>
      <c s="54" r="H84"/>
      <c s="54" r="I84"/>
      <c s="54" r="J84"/>
      <c s="54" r="K84"/>
      <c s="54" r="L84"/>
      <c s="54" r="M84"/>
      <c s="54" r="N84"/>
      <c s="54" r="O84"/>
      <c s="54" r="P84"/>
      <c s="54" r="Q84"/>
      <c s="54" r="R84"/>
      <c s="54" r="S84"/>
      <c s="54" r="T84"/>
      <c s="54" r="U84"/>
      <c s="54" r="V84"/>
      <c s="54" r="W84"/>
      <c s="54" r="X84"/>
      <c s="54" r="Y84"/>
      <c s="54" r="Z84"/>
      <c s="54" r="AA84"/>
      <c s="54" r="AB84"/>
      <c s="54" r="AC84"/>
      <c s="54" r="AD84"/>
      <c s="54" r="AE84"/>
      <c s="54" r="AF84"/>
      <c s="54" r="AG84"/>
      <c s="54" r="AH84"/>
      <c s="54" r="AI84"/>
      <c s="54" r="AJ84"/>
      <c s="54" r="AK84"/>
    </row>
    <row r="85">
      <c t="s" s="116" r="A85">
        <v>355</v>
      </c>
      <c s="240" r="B85">
        <f>(((B77*storage_price_perGB_perMonth)*(1-storage_discount))*(1-storage_active_rate))*12</f>
        <v>1500</v>
      </c>
      <c s="240" r="C85">
        <f>(((C77*storage_price_perGB_perMonth)*(1-storage_discount))*(1-storage_active_rate))*12</f>
        <v>1500</v>
      </c>
      <c s="240" r="D85">
        <f>(((D77*storage_price_perGB_perMonth)*(1-storage_discount))*(1-storage_active_rate))*12</f>
        <v>1500</v>
      </c>
      <c s="54" r="E85"/>
      <c s="54" r="F85"/>
      <c s="54" r="G85"/>
      <c s="54" r="H85"/>
      <c s="54" r="I85"/>
      <c s="54" r="J85"/>
      <c s="54" r="K85"/>
      <c s="54" r="L85"/>
      <c s="54" r="M85"/>
      <c s="54" r="N85"/>
      <c s="54" r="O85"/>
      <c s="54" r="P85"/>
      <c s="54" r="Q85"/>
      <c s="54" r="R85"/>
      <c s="54" r="S85"/>
      <c s="54" r="T85"/>
      <c s="54" r="U85"/>
      <c s="54" r="V85"/>
      <c s="54" r="W85"/>
      <c s="54" r="X85"/>
      <c s="54" r="Y85"/>
      <c s="54" r="Z85"/>
      <c s="54" r="AA85"/>
      <c s="54" r="AB85"/>
      <c s="54" r="AC85"/>
      <c s="54" r="AD85"/>
      <c s="54" r="AE85"/>
      <c s="54" r="AF85"/>
      <c s="54" r="AG85"/>
      <c s="54" r="AH85"/>
      <c s="54" r="AI85"/>
      <c s="54" r="AJ85"/>
      <c s="54" r="AK85"/>
    </row>
    <row r="86">
      <c t="s" s="116" r="A86">
        <v>356</v>
      </c>
      <c s="240" r="B86">
        <f>B85*encryption_adder_percent</f>
        <v>375</v>
      </c>
      <c s="240" r="C86">
        <f>C85*encryption_adder_percent</f>
        <v>375</v>
      </c>
      <c s="240" r="D86">
        <f>D85*encryption_adder_percent</f>
        <v>375</v>
      </c>
      <c s="54" r="E86"/>
      <c s="54" r="F86"/>
      <c s="54" r="G86"/>
      <c s="54" r="H86"/>
      <c s="54" r="I86"/>
      <c s="54" r="J86"/>
      <c s="54" r="K86"/>
      <c s="54" r="L86"/>
      <c s="54" r="M86"/>
      <c s="54" r="N86"/>
      <c s="54" r="O86"/>
      <c s="54" r="P86"/>
      <c s="54" r="Q86"/>
      <c s="54" r="R86"/>
      <c s="54" r="S86"/>
      <c s="54" r="T86"/>
      <c s="54" r="U86"/>
      <c s="54" r="V86"/>
      <c s="54" r="W86"/>
      <c s="54" r="X86"/>
      <c s="54" r="Y86"/>
      <c s="54" r="Z86"/>
      <c s="54" r="AA86"/>
      <c s="54" r="AB86"/>
      <c s="54" r="AC86"/>
      <c s="54" r="AD86"/>
      <c s="54" r="AE86"/>
      <c s="54" r="AF86"/>
      <c s="54" r="AG86"/>
      <c s="54" r="AH86"/>
      <c s="54" r="AI86"/>
      <c s="54" r="AJ86"/>
      <c s="54" r="AK86"/>
    </row>
    <row r="87">
      <c t="s" s="409" r="A87">
        <v>357</v>
      </c>
      <c s="174" r="B87">
        <f>B85+B86</f>
        <v>1875</v>
      </c>
      <c s="174" r="C87">
        <f>C85+C86</f>
        <v>1875</v>
      </c>
      <c s="174" r="D87">
        <f>D85+D86</f>
        <v>1875</v>
      </c>
      <c s="54" r="E87"/>
      <c s="54" r="F87"/>
      <c s="54" r="G87"/>
      <c s="54" r="H87"/>
      <c s="54" r="I87"/>
      <c s="54" r="J87"/>
      <c s="54" r="K87"/>
      <c s="54" r="L87"/>
      <c s="54" r="M87"/>
      <c s="54" r="N87"/>
      <c s="54" r="O87"/>
      <c s="54" r="P87"/>
      <c s="54" r="Q87"/>
      <c s="54" r="R87"/>
      <c s="54" r="S87"/>
      <c s="54" r="T87"/>
      <c s="54" r="U87"/>
      <c s="54" r="V87"/>
      <c s="54" r="W87"/>
      <c s="54" r="X87"/>
      <c s="54" r="Y87"/>
      <c s="54" r="Z87"/>
      <c s="54" r="AA87"/>
      <c s="54" r="AB87"/>
      <c s="54" r="AC87"/>
      <c s="54" r="AD87"/>
      <c s="54" r="AE87"/>
      <c s="54" r="AF87"/>
      <c s="54" r="AG87"/>
      <c s="54" r="AH87"/>
      <c s="54" r="AI87"/>
      <c s="54" r="AJ87"/>
      <c s="54" r="AK87"/>
    </row>
    <row r="88">
      <c s="54" r="A88"/>
      <c s="240" r="B88"/>
      <c s="240" r="C88"/>
      <c s="240" r="D88"/>
      <c s="54" r="E88"/>
      <c s="54" r="F88"/>
      <c s="54" r="G88"/>
      <c s="54" r="H88"/>
      <c s="54" r="I88"/>
      <c s="54" r="J88"/>
      <c s="54" r="K88"/>
      <c s="54" r="L88"/>
      <c s="54" r="M88"/>
      <c s="54" r="N88"/>
      <c s="54" r="O88"/>
      <c s="54" r="P88"/>
      <c s="54" r="Q88"/>
      <c s="54" r="R88"/>
      <c s="54" r="S88"/>
      <c s="54" r="T88"/>
      <c s="54" r="U88"/>
      <c s="54" r="V88"/>
      <c s="54" r="W88"/>
      <c s="54" r="X88"/>
      <c s="54" r="Y88"/>
      <c s="54" r="Z88"/>
      <c s="54" r="AA88"/>
      <c s="54" r="AB88"/>
      <c s="54" r="AC88"/>
      <c s="54" r="AD88"/>
      <c s="54" r="AE88"/>
      <c s="54" r="AF88"/>
      <c s="54" r="AG88"/>
      <c s="54" r="AH88"/>
      <c s="54" r="AI88"/>
      <c s="54" r="AJ88"/>
      <c s="54" r="AK88"/>
    </row>
    <row r="89">
      <c t="s" s="116" r="A89">
        <v>358</v>
      </c>
      <c s="240" r="B89">
        <f>(((B77*storage_price_perGB_perMonth)*(1-storage_discount))*snapshots_active_rate)*12</f>
        <v>2250</v>
      </c>
      <c s="240" r="C89">
        <f>(((C77*storage_price_perGB_perMonth)*(1-storage_discount))*snapshots_active_rate)*12</f>
        <v>2250</v>
      </c>
      <c s="240" r="D89">
        <f>(((D77*storage_price_perGB_perMonth)*(1-storage_discount))*snapshots_active_rate)*12</f>
        <v>2250</v>
      </c>
      <c s="54" r="E89"/>
      <c s="54" r="F89"/>
      <c s="54" r="G89"/>
      <c s="54" r="H89"/>
      <c s="54" r="I89"/>
      <c s="54" r="J89"/>
      <c s="54" r="K89"/>
      <c s="54" r="L89"/>
      <c s="54" r="M89"/>
      <c s="54" r="N89"/>
      <c s="54" r="O89"/>
      <c s="54" r="P89"/>
      <c s="54" r="Q89"/>
      <c s="54" r="R89"/>
      <c s="54" r="S89"/>
      <c s="54" r="T89"/>
      <c s="54" r="U89"/>
      <c s="54" r="V89"/>
      <c s="54" r="W89"/>
      <c s="54" r="X89"/>
      <c s="54" r="Y89"/>
      <c s="54" r="Z89"/>
      <c s="54" r="AA89"/>
      <c s="54" r="AB89"/>
      <c s="54" r="AC89"/>
      <c s="54" r="AD89"/>
      <c s="54" r="AE89"/>
      <c s="54" r="AF89"/>
      <c s="54" r="AG89"/>
      <c s="54" r="AH89"/>
      <c s="54" r="AI89"/>
      <c s="54" r="AJ89"/>
      <c s="54" r="AK89"/>
    </row>
    <row r="90">
      <c t="s" s="116" r="A90">
        <v>359</v>
      </c>
      <c s="240" r="B90">
        <f>B89*encryption_adder_percent</f>
        <v>562.5</v>
      </c>
      <c s="240" r="C90">
        <f>C89*encryption_adder_percent</f>
        <v>562.5</v>
      </c>
      <c s="240" r="D90">
        <f>D89*encryption_adder_percent</f>
        <v>562.5</v>
      </c>
      <c s="54" r="E90"/>
      <c s="54" r="F90"/>
      <c s="54" r="G90"/>
      <c s="54" r="H90"/>
      <c s="54" r="I90"/>
      <c s="54" r="J90"/>
      <c s="54" r="K90"/>
      <c s="54" r="L90"/>
      <c s="54" r="M90"/>
      <c s="54" r="N90"/>
      <c s="54" r="O90"/>
      <c s="54" r="P90"/>
      <c s="54" r="Q90"/>
      <c s="54" r="R90"/>
      <c s="54" r="S90"/>
      <c s="54" r="T90"/>
      <c s="54" r="U90"/>
      <c s="54" r="V90"/>
      <c s="54" r="W90"/>
      <c s="54" r="X90"/>
      <c s="54" r="Y90"/>
      <c s="54" r="Z90"/>
      <c s="54" r="AA90"/>
      <c s="54" r="AB90"/>
      <c s="54" r="AC90"/>
      <c s="54" r="AD90"/>
      <c s="54" r="AE90"/>
      <c s="54" r="AF90"/>
      <c s="54" r="AG90"/>
      <c s="54" r="AH90"/>
      <c s="54" r="AI90"/>
      <c s="54" r="AJ90"/>
      <c s="54" r="AK90"/>
    </row>
    <row r="91">
      <c t="s" s="409" r="A91">
        <v>360</v>
      </c>
      <c s="174" r="B91">
        <f>B89+B90</f>
        <v>2812.5</v>
      </c>
      <c s="174" r="C91">
        <f>C89+C90</f>
        <v>2812.5</v>
      </c>
      <c s="174" r="D91">
        <f>D89+D90</f>
        <v>2812.5</v>
      </c>
      <c s="54" r="E91"/>
      <c s="54" r="F91"/>
      <c s="54" r="G91"/>
      <c s="54" r="H91"/>
      <c s="54" r="I91"/>
      <c s="54" r="J91"/>
      <c s="54" r="K91"/>
      <c s="54" r="L91"/>
      <c s="54" r="M91"/>
      <c s="54" r="N91"/>
      <c s="54" r="O91"/>
      <c s="54" r="P91"/>
      <c s="54" r="Q91"/>
      <c s="54" r="R91"/>
      <c s="54" r="S91"/>
      <c s="54" r="T91"/>
      <c s="54" r="U91"/>
      <c s="54" r="V91"/>
      <c s="54" r="W91"/>
      <c s="54" r="X91"/>
      <c s="54" r="Y91"/>
      <c s="54" r="Z91"/>
      <c s="54" r="AA91"/>
      <c s="54" r="AB91"/>
      <c s="54" r="AC91"/>
      <c s="54" r="AD91"/>
      <c s="54" r="AE91"/>
      <c s="54" r="AF91"/>
      <c s="54" r="AG91"/>
      <c s="54" r="AH91"/>
      <c s="54" r="AI91"/>
      <c s="54" r="AJ91"/>
      <c s="54" r="AK91"/>
    </row>
    <row r="92">
      <c s="54" r="A92"/>
      <c s="54" r="B92"/>
      <c s="54" r="C92"/>
      <c s="54" r="D92"/>
      <c s="54" r="E92"/>
      <c s="54" r="F92"/>
      <c s="54" r="G92"/>
      <c s="54" r="H92"/>
      <c s="54" r="I92"/>
      <c s="54" r="J92"/>
      <c s="54" r="K92"/>
      <c s="54" r="L92"/>
      <c s="54" r="M92"/>
      <c s="54" r="N92"/>
      <c s="54" r="O92"/>
      <c s="54" r="P92"/>
      <c s="54" r="Q92"/>
      <c s="54" r="R92"/>
      <c s="54" r="S92"/>
      <c s="54" r="T92"/>
      <c s="54" r="U92"/>
      <c s="54" r="V92"/>
      <c s="54" r="W92"/>
      <c s="54" r="X92"/>
      <c s="54" r="Y92"/>
      <c s="54" r="Z92"/>
      <c s="54" r="AA92"/>
      <c s="54" r="AB92"/>
      <c s="54" r="AC92"/>
      <c s="54" r="AD92"/>
      <c s="54" r="AE92"/>
      <c s="54" r="AF92"/>
      <c s="54" r="AG92"/>
      <c s="54" r="AH92"/>
      <c s="54" r="AI92"/>
      <c s="54" r="AJ92"/>
      <c s="54" r="AK92"/>
    </row>
    <row r="93">
      <c t="s" s="409" r="A93">
        <v>361</v>
      </c>
      <c s="196" r="B93">
        <f>(B83+B87)+B91</f>
        <v>8757.38341201193</v>
      </c>
      <c s="196" r="C93">
        <f>(C83+C87)+C91</f>
        <v>9094.66619490319</v>
      </c>
      <c s="196" r="D93">
        <f>(D83+D87)+D91</f>
        <v>9522.42231675224</v>
      </c>
      <c s="54" r="E93"/>
      <c s="54" r="F93"/>
      <c s="54" r="G93"/>
      <c s="54" r="H93"/>
      <c s="54" r="I93"/>
      <c s="54" r="J93"/>
      <c s="54" r="K93"/>
      <c s="54" r="L93"/>
      <c s="54" r="M93"/>
      <c s="54" r="N93"/>
      <c s="54" r="O93"/>
      <c s="54" r="P93"/>
      <c s="54" r="Q93"/>
      <c s="54" r="R93"/>
      <c s="54" r="S93"/>
      <c s="54" r="T93"/>
      <c s="54" r="U93"/>
      <c s="54" r="V93"/>
      <c s="54" r="W93"/>
      <c s="54" r="X93"/>
      <c s="54" r="Y93"/>
      <c s="54" r="Z93"/>
      <c s="54" r="AA93"/>
      <c s="54" r="AB93"/>
      <c s="54" r="AC93"/>
      <c s="54" r="AD93"/>
      <c s="54" r="AE93"/>
      <c s="54" r="AF93"/>
      <c s="54" r="AG93"/>
      <c s="54" r="AH93"/>
      <c s="54" r="AI93"/>
      <c s="54" r="AJ93"/>
      <c s="54" r="AK93"/>
    </row>
    <row r="94">
      <c s="54" r="A94"/>
      <c s="54" r="B94"/>
      <c s="54" r="C94"/>
      <c s="54" r="D94"/>
      <c s="54" r="E94"/>
      <c s="54" r="F94"/>
      <c s="54" r="G94"/>
      <c s="54" r="H94"/>
      <c s="54" r="I94"/>
      <c s="54" r="J94"/>
      <c s="54" r="K94"/>
      <c s="54" r="L94"/>
      <c s="54" r="M94"/>
      <c s="54" r="N94"/>
      <c s="54" r="O94"/>
      <c s="54" r="P94"/>
      <c s="54" r="Q94"/>
      <c s="54" r="R94"/>
      <c s="54" r="S94"/>
      <c s="54" r="T94"/>
      <c s="54" r="U94"/>
      <c s="54" r="V94"/>
      <c s="54" r="W94"/>
      <c s="54" r="X94"/>
      <c s="54" r="Y94"/>
      <c s="54" r="Z94"/>
      <c s="54" r="AA94"/>
      <c s="54" r="AB94"/>
      <c s="54" r="AC94"/>
      <c s="54" r="AD94"/>
      <c s="54" r="AE94"/>
      <c s="54" r="AF94"/>
      <c s="54" r="AG94"/>
      <c s="54" r="AH94"/>
      <c s="54" r="AI94"/>
      <c s="54" r="AJ94"/>
      <c s="54" r="AK94"/>
    </row>
    <row r="95">
      <c s="54" r="A95"/>
      <c s="54" r="B95"/>
      <c s="54" r="C95"/>
      <c s="54" r="D95"/>
      <c s="54" r="E95"/>
      <c s="54" r="F95"/>
      <c s="54" r="G95"/>
      <c s="54" r="H95"/>
      <c s="54" r="I95"/>
      <c s="54" r="J95"/>
      <c s="54" r="K95"/>
      <c s="54" r="L95"/>
      <c s="54" r="M95"/>
      <c s="54" r="N95"/>
      <c s="54" r="O95"/>
      <c s="54" r="P95"/>
      <c s="54" r="Q95"/>
      <c s="54" r="R95"/>
      <c s="54" r="S95"/>
      <c s="54" r="T95"/>
      <c s="54" r="U95"/>
      <c s="54" r="V95"/>
      <c s="54" r="W95"/>
      <c s="54" r="X95"/>
      <c s="54" r="Y95"/>
      <c s="54" r="Z95"/>
      <c s="54" r="AA95"/>
      <c s="54" r="AB95"/>
      <c s="54" r="AC95"/>
      <c s="54" r="AD95"/>
      <c s="54" r="AE95"/>
      <c s="54" r="AF95"/>
      <c s="54" r="AG95"/>
      <c s="54" r="AH95"/>
      <c s="54" r="AI95"/>
      <c s="54" r="AJ95"/>
      <c s="54" r="AK95"/>
    </row>
    <row customHeight="1" r="96" ht="15.0">
      <c t="s" s="54" r="A96">
        <v>362</v>
      </c>
      <c t="s" s="165" r="B96">
        <v>363</v>
      </c>
      <c t="s" s="54" r="C96">
        <v>364</v>
      </c>
      <c t="s" s="54" r="D96">
        <v>365</v>
      </c>
      <c t="s" s="54" r="E96">
        <v>366</v>
      </c>
      <c t="s" s="54" r="F96">
        <v>367</v>
      </c>
      <c s="54" r="G96"/>
      <c s="54" r="H96"/>
      <c s="54" r="I96"/>
      <c s="54" r="J96"/>
      <c s="54" r="K96"/>
      <c s="54" r="L96"/>
      <c s="54" r="M96"/>
      <c s="54" r="N96"/>
      <c s="54" r="O96"/>
      <c s="54" r="P96"/>
      <c s="54" r="Q96"/>
      <c s="54" r="R96"/>
      <c s="54" r="S96"/>
      <c s="54" r="T96"/>
      <c s="54" r="U96"/>
      <c s="54" r="V96"/>
      <c s="54" r="W96"/>
      <c s="54" r="X96"/>
      <c s="54" r="Y96"/>
      <c s="54" r="Z96"/>
      <c s="54" r="AA96"/>
      <c s="54" r="AB96"/>
      <c s="54" r="AC96"/>
      <c s="54" r="AD96"/>
      <c s="54" r="AE96"/>
      <c s="54" r="AF96"/>
      <c s="54" r="AG96"/>
      <c s="54" r="AH96"/>
      <c s="54" r="AI96"/>
      <c s="54" r="AJ96"/>
      <c s="54" r="AK96"/>
    </row>
    <row customHeight="1" r="97" ht="15.0">
      <c t="s" s="54" r="A97">
        <v>368</v>
      </c>
      <c t="s" s="54" r="B97">
        <v>369</v>
      </c>
      <c t="s" s="54" r="C97">
        <v>370</v>
      </c>
      <c t="s" s="54" r="D97">
        <v>365</v>
      </c>
      <c t="s" s="54" r="E97">
        <v>366</v>
      </c>
      <c t="s" s="54" r="F97">
        <v>367</v>
      </c>
      <c s="54" r="G97"/>
      <c s="54" r="H97"/>
      <c s="54" r="I97"/>
      <c s="54" r="J97"/>
      <c s="54" r="K97"/>
      <c s="54" r="L97"/>
      <c s="54" r="M97"/>
      <c s="54" r="N97"/>
      <c s="54" r="O97"/>
      <c s="54" r="P97"/>
      <c s="54" r="Q97"/>
      <c s="54" r="R97"/>
      <c s="54" r="S97"/>
      <c s="54" r="T97"/>
      <c s="54" r="U97"/>
      <c s="54" r="V97"/>
      <c s="54" r="W97"/>
      <c s="54" r="X97"/>
      <c s="54" r="Y97"/>
      <c s="54" r="Z97"/>
      <c s="54" r="AA97"/>
      <c s="54" r="AB97"/>
      <c s="54" r="AC97"/>
      <c s="54" r="AD97"/>
      <c s="54" r="AE97"/>
      <c s="54" r="AF97"/>
      <c s="54" r="AG97"/>
      <c s="54" r="AH97"/>
      <c s="54" r="AI97"/>
      <c s="54" r="AJ97"/>
      <c s="54" r="AK97"/>
    </row>
    <row customHeight="1" r="98" ht="15.0">
      <c t="s" s="54" r="A98">
        <v>371</v>
      </c>
      <c t="s" s="165" r="B98">
        <v>372</v>
      </c>
      <c t="s" s="54" r="C98">
        <v>373</v>
      </c>
      <c t="s" s="54" r="D98">
        <v>374</v>
      </c>
      <c s="54" r="E98"/>
      <c s="54" r="F98"/>
      <c s="54" r="G98"/>
      <c s="54" r="H98"/>
      <c s="54" r="I98"/>
      <c s="54" r="J98"/>
      <c s="54" r="K98"/>
      <c s="54" r="L98"/>
      <c s="54" r="M98"/>
      <c s="54" r="N98"/>
      <c s="54" r="O98"/>
      <c s="54" r="P98"/>
      <c s="54" r="Q98"/>
      <c s="54" r="R98"/>
      <c s="54" r="S98"/>
      <c s="54" r="T98"/>
      <c s="54" r="U98"/>
      <c s="54" r="V98"/>
      <c s="54" r="W98"/>
      <c s="54" r="X98"/>
      <c s="54" r="Y98"/>
      <c s="54" r="Z98"/>
      <c s="54" r="AA98"/>
      <c s="54" r="AB98"/>
      <c s="54" r="AC98"/>
      <c s="54" r="AD98"/>
      <c s="54" r="AE98"/>
      <c s="54" r="AF98"/>
      <c s="54" r="AG98"/>
      <c s="54" r="AH98"/>
      <c s="54" r="AI98"/>
      <c s="54" r="AJ98"/>
      <c s="54" r="AK98"/>
    </row>
    <row customHeight="1" r="99" ht="15.0">
      <c t="s" s="54" r="A99">
        <v>375</v>
      </c>
      <c t="s" s="165" r="B99">
        <v>372</v>
      </c>
      <c t="s" s="54" r="C99">
        <v>376</v>
      </c>
      <c t="s" s="165" r="D99">
        <v>377</v>
      </c>
      <c t="s" s="54" r="E99">
        <v>378</v>
      </c>
      <c s="54" r="F99"/>
      <c s="54" r="G99"/>
      <c s="54" r="H99"/>
      <c s="54" r="I99"/>
      <c s="54" r="J99"/>
      <c s="54" r="K99"/>
      <c s="54" r="L99"/>
      <c s="54" r="M99"/>
      <c s="54" r="N99"/>
      <c s="54" r="O99"/>
      <c s="54" r="P99"/>
      <c s="54" r="Q99"/>
      <c s="54" r="R99"/>
      <c s="54" r="S99"/>
      <c s="54" r="T99"/>
      <c s="54" r="U99"/>
      <c s="54" r="V99"/>
      <c s="54" r="W99"/>
      <c s="54" r="X99"/>
      <c s="54" r="Y99"/>
      <c s="54" r="Z99"/>
      <c s="54" r="AA99"/>
      <c s="54" r="AB99"/>
      <c s="54" r="AC99"/>
      <c s="54" r="AD99"/>
      <c s="54" r="AE99"/>
      <c s="54" r="AF99"/>
      <c s="54" r="AG99"/>
      <c s="54" r="AH99"/>
      <c s="54" r="AI99"/>
      <c s="54" r="AJ99"/>
      <c s="54" r="AK99"/>
    </row>
    <row customHeight="1" r="100" ht="15.0">
      <c t="s" s="54" r="A100">
        <v>379</v>
      </c>
      <c t="s" s="165" r="B100">
        <v>363</v>
      </c>
      <c t="s" s="54" r="C100">
        <v>364</v>
      </c>
      <c t="s" s="54" r="D100">
        <v>365</v>
      </c>
      <c t="s" s="54" r="E100">
        <v>380</v>
      </c>
      <c t="s" s="54" r="F100">
        <v>367</v>
      </c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54" r="U100"/>
      <c s="54" r="V100"/>
      <c s="54" r="W100"/>
      <c s="54" r="X100"/>
      <c s="54" r="Y100"/>
      <c s="54" r="Z100"/>
      <c s="54" r="AA100"/>
      <c s="54" r="AB100"/>
      <c s="54" r="AC100"/>
      <c s="54" r="AD100"/>
      <c s="54" r="AE100"/>
      <c s="54" r="AF100"/>
      <c s="54" r="AG100"/>
      <c s="54" r="AH100"/>
      <c s="54" r="AI100"/>
      <c s="54" r="AJ100"/>
      <c s="54" r="AK100"/>
    </row>
    <row customHeight="1" r="101" ht="15.0">
      <c t="s" s="54" r="A101">
        <v>381</v>
      </c>
      <c t="s" s="165" r="B101">
        <v>382</v>
      </c>
      <c t="s" s="54" r="C101">
        <v>378</v>
      </c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54" r="V101"/>
      <c s="54" r="W101"/>
      <c s="54" r="X101"/>
      <c s="54" r="Y101"/>
      <c s="54" r="Z101"/>
      <c s="54" r="AA101"/>
      <c s="54" r="AB101"/>
      <c s="54" r="AC101"/>
      <c s="54" r="AD101"/>
      <c s="54" r="AE101"/>
      <c s="54" r="AF101"/>
      <c s="54" r="AG101"/>
      <c s="54" r="AH101"/>
      <c s="54" r="AI101"/>
      <c s="54" r="AJ101"/>
      <c s="54" r="AK101"/>
    </row>
    <row customHeight="1" r="102" ht="15.0">
      <c t="s" s="54" r="A102">
        <v>383</v>
      </c>
      <c t="s" s="165" r="B102">
        <v>363</v>
      </c>
      <c t="s" s="54" r="C102">
        <v>364</v>
      </c>
      <c t="s" s="54" r="D102">
        <v>365</v>
      </c>
      <c t="s" s="54" r="E102">
        <v>384</v>
      </c>
      <c t="s" s="54" r="F102">
        <v>367</v>
      </c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54" r="W102"/>
      <c s="54" r="X102"/>
      <c s="54" r="Y102"/>
      <c s="54" r="Z102"/>
      <c s="54" r="AA102"/>
      <c s="54" r="AB102"/>
      <c s="54" r="AC102"/>
      <c s="54" r="AD102"/>
      <c s="54" r="AE102"/>
      <c s="54" r="AF102"/>
      <c s="54" r="AG102"/>
      <c s="54" r="AH102"/>
      <c s="54" r="AI102"/>
      <c s="54" r="AJ102"/>
      <c s="54" r="AK102"/>
    </row>
    <row customHeight="1" r="103" ht="15.0">
      <c t="s" s="54" r="A103">
        <v>385</v>
      </c>
      <c t="s" s="165" r="B103">
        <v>386</v>
      </c>
      <c t="s" s="54" r="C103">
        <v>378</v>
      </c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54" r="Y103"/>
      <c s="54" r="Z103"/>
      <c s="54" r="AA103"/>
      <c s="54" r="AB103"/>
      <c s="54" r="AC103"/>
      <c s="54" r="AD103"/>
      <c s="54" r="AE103"/>
      <c s="54" r="AF103"/>
      <c s="54" r="AG103"/>
      <c s="54" r="AH103"/>
      <c s="54" r="AI103"/>
      <c s="54" r="AJ103"/>
      <c s="54" r="AK103"/>
    </row>
    <row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54" r="Y104"/>
      <c s="54" r="Z104"/>
      <c s="54" r="AA104"/>
      <c s="54" r="AB104"/>
      <c s="54" r="AC104"/>
      <c s="54" r="AD104"/>
      <c s="54" r="AE104"/>
      <c s="54" r="AF104"/>
      <c s="54" r="AG104"/>
      <c s="54" r="AH104"/>
      <c s="54" r="AI104"/>
      <c s="54" r="AJ104"/>
      <c s="54" r="AK104"/>
    </row>
    <row r="105">
      <c s="54" r="A105"/>
      <c s="54" r="B105"/>
      <c s="54" r="C105"/>
      <c s="54" r="D105"/>
      <c s="54" r="E105"/>
      <c s="54" r="F105"/>
      <c s="54" r="G105"/>
      <c s="54" r="H105"/>
      <c s="54" r="I105"/>
      <c s="54" r="J105"/>
      <c s="54" r="K105"/>
      <c s="54" r="L105"/>
      <c s="54" r="M105"/>
      <c s="54" r="N105"/>
      <c s="54" r="O105"/>
      <c s="54" r="P105"/>
      <c s="54" r="Q105"/>
      <c s="54" r="R105"/>
      <c s="54" r="S105"/>
      <c s="54" r="T105"/>
      <c s="54" r="U105"/>
      <c s="54" r="V105"/>
      <c s="54" r="W105"/>
      <c s="54" r="X105"/>
      <c s="54" r="Y105"/>
      <c s="54" r="Z105"/>
      <c s="54" r="AA105"/>
      <c s="54" r="AB105"/>
      <c s="54" r="AC105"/>
      <c s="54" r="AD105"/>
      <c s="54" r="AE105"/>
      <c s="54" r="AF105"/>
      <c s="54" r="AG105"/>
      <c s="54" r="AH105"/>
      <c s="54" r="AI105"/>
      <c s="54" r="AJ105"/>
      <c s="54" r="AK105"/>
    </row>
    <row r="106">
      <c t="s" s="233" r="A106">
        <v>387</v>
      </c>
      <c t="s" s="409" r="B106">
        <v>388</v>
      </c>
      <c s="54" r="C106"/>
      <c s="54" r="D106"/>
      <c s="54" r="E106"/>
      <c s="54" r="F106"/>
      <c s="54" r="G106"/>
      <c s="54" r="H106"/>
      <c s="54" r="I106"/>
      <c s="54" r="J106"/>
      <c s="54" r="K106"/>
      <c s="54" r="L106"/>
      <c s="54" r="M106"/>
      <c s="54" r="N106"/>
      <c s="54" r="O106"/>
      <c s="54" r="P106"/>
      <c s="54" r="Q106"/>
      <c s="54" r="R106"/>
      <c s="54" r="S106"/>
      <c s="54" r="T106"/>
      <c s="54" r="U106"/>
      <c s="54" r="V106"/>
      <c s="54" r="W106"/>
      <c s="54" r="X106"/>
      <c s="54" r="Y106"/>
      <c s="54" r="Z106"/>
      <c s="54" r="AA106"/>
      <c s="54" r="AB106"/>
      <c s="54" r="AC106"/>
      <c s="54" r="AD106"/>
      <c s="54" r="AE106"/>
      <c s="54" r="AF106"/>
      <c s="54" r="AG106"/>
      <c s="54" r="AH106"/>
      <c s="54" r="AI106"/>
      <c s="54" r="AJ106"/>
      <c s="54" r="AK106"/>
    </row>
    <row customHeight="1" r="107" ht="15.0">
      <c t="str" s="54" r="A107">
        <f>'Quotable &amp; Invoicable Items'!A5</f>
        <v>COMMITTED VOLUME PLAN - 1Y; PAID UPFRONT</v>
      </c>
      <c s="144" r="B107">
        <v>0.15</v>
      </c>
      <c s="54" r="C107"/>
      <c s="54" r="D107"/>
      <c s="54" r="E107"/>
      <c s="54" r="F107"/>
      <c s="54" r="G107"/>
      <c s="54" r="H107"/>
      <c s="54" r="I107"/>
      <c s="54" r="J107"/>
      <c s="54" r="K107"/>
      <c s="54" r="L107"/>
      <c s="54" r="M107"/>
      <c s="54" r="N107"/>
      <c s="54" r="O107"/>
      <c s="54" r="P107"/>
      <c s="54" r="Q107"/>
      <c s="54" r="R107"/>
      <c s="54" r="S107"/>
      <c s="54" r="T107"/>
      <c s="54" r="U107"/>
      <c s="54" r="V107"/>
      <c s="54" r="W107"/>
      <c s="54" r="X107"/>
      <c s="54" r="Y107"/>
      <c s="54" r="Z107"/>
      <c s="54" r="AA107"/>
      <c s="54" r="AB107"/>
      <c s="54" r="AC107"/>
      <c s="54" r="AD107"/>
      <c s="54" r="AE107"/>
      <c s="54" r="AF107"/>
      <c s="54" r="AG107"/>
      <c s="54" r="AH107"/>
      <c s="54" r="AI107"/>
      <c s="54" r="AJ107"/>
      <c s="54" r="AK107"/>
    </row>
    <row customHeight="1" r="108" ht="15.0">
      <c t="str" s="54" r="A108">
        <f>'Quotable &amp; Invoicable Items'!A13</f>
        <v>COMMITTED VOLUME PLAN - 1Y; PAID BI-ANNUALLY</v>
      </c>
      <c s="144" r="B108">
        <v>0.05</v>
      </c>
      <c s="54" r="C108"/>
      <c s="54" r="D108"/>
      <c s="54" r="E108"/>
      <c s="54" r="F108"/>
      <c s="54" r="G108"/>
      <c s="54" r="H108"/>
      <c s="54" r="I108"/>
      <c s="54" r="J108"/>
      <c s="54" r="K108"/>
      <c s="54" r="L108"/>
      <c s="54" r="M108"/>
      <c s="54" r="N108"/>
      <c s="54" r="O108"/>
      <c s="54" r="P108"/>
      <c s="54" r="Q108"/>
      <c s="54" r="R108"/>
      <c s="54" r="S108"/>
      <c s="54" r="T108"/>
      <c s="54" r="U108"/>
      <c s="54" r="V108"/>
      <c s="54" r="W108"/>
      <c s="54" r="X108"/>
      <c s="54" r="Y108"/>
      <c s="54" r="Z108"/>
      <c s="54" r="AA108"/>
      <c s="54" r="AB108"/>
      <c s="54" r="AC108"/>
      <c s="54" r="AD108"/>
      <c s="54" r="AE108"/>
      <c s="54" r="AF108"/>
      <c s="54" r="AG108"/>
      <c s="54" r="AH108"/>
      <c s="54" r="AI108"/>
      <c s="54" r="AJ108"/>
      <c s="54" r="AK108"/>
    </row>
    <row customHeight="1" r="109" ht="15.0">
      <c t="str" s="54" r="A109">
        <f>'Quotable &amp; Invoicable Items'!A21</f>
        <v>COMMITTED VOLUME PLAN - 3Y; PAID UPFRONT</v>
      </c>
      <c s="144" r="B109">
        <v>0.1</v>
      </c>
      <c s="54" r="C109"/>
      <c s="54" r="D109"/>
      <c s="54" r="E109"/>
      <c s="54" r="F109"/>
      <c s="54" r="G109"/>
      <c s="54" r="H109"/>
      <c s="54" r="I109"/>
      <c s="54" r="J109"/>
      <c s="54" r="K109"/>
      <c s="54" r="L109"/>
      <c s="54" r="M109"/>
      <c s="54" r="N109"/>
      <c s="54" r="O109"/>
      <c s="54" r="P109"/>
      <c s="54" r="Q109"/>
      <c s="54" r="R109"/>
      <c s="54" r="S109"/>
      <c s="54" r="T109"/>
      <c s="54" r="U109"/>
      <c s="54" r="V109"/>
      <c s="54" r="W109"/>
      <c s="54" r="X109"/>
      <c s="54" r="Y109"/>
      <c s="54" r="Z109"/>
      <c s="54" r="AA109"/>
      <c s="54" r="AB109"/>
      <c s="54" r="AC109"/>
      <c s="54" r="AD109"/>
      <c s="54" r="AE109"/>
      <c s="54" r="AF109"/>
      <c s="54" r="AG109"/>
      <c s="54" r="AH109"/>
      <c s="54" r="AI109"/>
      <c s="54" r="AJ109"/>
      <c s="54" r="AK109"/>
    </row>
    <row customHeight="1" r="110" ht="15.0">
      <c t="str" s="54" r="A110">
        <f>'Quotable &amp; Invoicable Items'!A29</f>
        <v>COMMITTED VOLUME PLAN - 3Y; PAID BI-ANNUALLY</v>
      </c>
      <c s="144" r="B110">
        <v>0</v>
      </c>
      <c s="54" r="C110"/>
      <c s="54" r="D110"/>
      <c s="54" r="E110"/>
      <c s="54" r="F110"/>
      <c s="54" r="G110"/>
      <c s="54" r="H110"/>
      <c s="54" r="I110"/>
      <c s="54" r="J110"/>
      <c s="54" r="K110"/>
      <c s="54" r="L110"/>
      <c s="54" r="M110"/>
      <c s="54" r="N110"/>
      <c s="54" r="O110"/>
      <c s="54" r="P110"/>
      <c s="54" r="Q110"/>
      <c s="54" r="R110"/>
      <c s="54" r="S110"/>
      <c s="54" r="T110"/>
      <c s="54" r="U110"/>
      <c s="54" r="V110"/>
      <c s="54" r="W110"/>
      <c s="54" r="X110"/>
      <c s="54" r="Y110"/>
      <c s="54" r="Z110"/>
      <c s="54" r="AA110"/>
      <c s="54" r="AB110"/>
      <c s="54" r="AC110"/>
      <c s="54" r="AD110"/>
      <c s="54" r="AE110"/>
      <c s="54" r="AF110"/>
      <c s="54" r="AG110"/>
      <c s="54" r="AH110"/>
      <c s="54" r="AI110"/>
      <c s="54" r="AJ110"/>
      <c s="54" r="AK110"/>
    </row>
    <row customHeight="1" r="111" ht="15.0">
      <c t="str" s="54" r="A111">
        <f>'Quotable &amp; Invoicable Items'!A37</f>
        <v>FLEXIBLE VOLUME PLAN</v>
      </c>
      <c s="144" r="B111">
        <v>0</v>
      </c>
      <c s="54" r="C111"/>
      <c s="54" r="D111"/>
      <c s="54" r="E111"/>
      <c s="54" r="F111"/>
      <c s="54" r="G111"/>
      <c s="54" r="H111"/>
      <c s="54" r="I111"/>
      <c s="54" r="J111"/>
      <c s="54" r="K111"/>
      <c s="54" r="L111"/>
      <c s="54" r="M111"/>
      <c s="54" r="N111"/>
      <c s="54" r="O111"/>
      <c s="54" r="P111"/>
      <c s="54" r="Q111"/>
      <c s="54" r="R111"/>
      <c s="54" r="S111"/>
      <c s="54" r="T111"/>
      <c s="54" r="U111"/>
      <c s="54" r="V111"/>
      <c s="54" r="W111"/>
      <c s="54" r="X111"/>
      <c s="54" r="Y111"/>
      <c s="54" r="Z111"/>
      <c s="54" r="AA111"/>
      <c s="54" r="AB111"/>
      <c s="54" r="AC111"/>
      <c s="54" r="AD111"/>
      <c s="54" r="AE111"/>
      <c s="54" r="AF111"/>
      <c s="54" r="AG111"/>
      <c s="54" r="AH111"/>
      <c s="54" r="AI111"/>
      <c s="54" r="AJ111"/>
      <c s="54" r="AK111"/>
    </row>
    <row r="112">
      <c s="54" r="A112"/>
      <c s="54" r="B112"/>
      <c s="54" r="C112"/>
      <c s="54" r="D112"/>
      <c s="54" r="E112"/>
      <c s="54" r="F112"/>
      <c s="54" r="G112"/>
      <c s="54" r="H112"/>
      <c s="54" r="I112"/>
      <c s="54" r="J112"/>
      <c s="54" r="K112"/>
      <c s="54" r="L112"/>
      <c s="54" r="M112"/>
      <c s="54" r="N112"/>
      <c s="54" r="O112"/>
      <c s="54" r="P112"/>
      <c s="54" r="Q112"/>
      <c s="54" r="R112"/>
      <c s="54" r="S112"/>
      <c s="54" r="T112"/>
      <c s="54" r="U112"/>
      <c s="54" r="V112"/>
      <c s="54" r="W112"/>
      <c s="54" r="X112"/>
      <c s="54" r="Y112"/>
      <c s="54" r="Z112"/>
      <c s="54" r="AA112"/>
      <c s="54" r="AB112"/>
      <c s="54" r="AC112"/>
      <c s="54" r="AD112"/>
      <c s="54" r="AE112"/>
      <c s="54" r="AF112"/>
      <c s="54" r="AG112"/>
      <c s="54" r="AH112"/>
      <c s="54" r="AI112"/>
      <c s="54" r="AJ112"/>
      <c s="54" r="AK112"/>
    </row>
    <row r="113">
      <c t="s" s="233" r="A113">
        <v>389</v>
      </c>
      <c t="s" s="409" r="B113">
        <v>390</v>
      </c>
      <c t="s" s="409" r="C113">
        <v>391</v>
      </c>
      <c t="s" s="409" r="D113">
        <v>345</v>
      </c>
      <c t="s" s="409" r="E113">
        <v>346</v>
      </c>
      <c t="s" s="409" r="F113">
        <v>347</v>
      </c>
      <c s="54" r="G113"/>
      <c s="54" r="H113"/>
      <c s="54" r="I113"/>
      <c s="54" r="J113"/>
      <c s="54" r="K113"/>
      <c s="54" r="L113"/>
      <c s="54" r="M113"/>
      <c s="54" r="N113"/>
      <c s="54" r="O113"/>
      <c s="54" r="P113"/>
      <c s="54" r="Q113"/>
      <c s="54" r="R113"/>
      <c s="54" r="S113"/>
      <c s="54" r="T113"/>
      <c s="54" r="U113"/>
      <c s="54" r="V113"/>
      <c s="54" r="W113"/>
      <c s="54" r="X113"/>
      <c s="54" r="Y113"/>
      <c s="54" r="Z113"/>
      <c s="54" r="AA113"/>
      <c s="54" r="AB113"/>
      <c s="54" r="AC113"/>
      <c s="54" r="AD113"/>
      <c s="54" r="AE113"/>
      <c s="54" r="AF113"/>
      <c s="54" r="AG113"/>
      <c s="54" r="AH113"/>
      <c s="54" r="AI113"/>
      <c s="54" r="AJ113"/>
      <c s="54" r="AK113"/>
    </row>
    <row customHeight="1" r="114" ht="15.0">
      <c t="str" s="54" r="A114">
        <f>'Quotable &amp; Invoicable Items'!C7</f>
        <v>$50,000 - $249,999</v>
      </c>
      <c s="427" r="B114">
        <v>250000</v>
      </c>
      <c s="144" r="C114">
        <v>0</v>
      </c>
      <c s="241" r="D114">
        <f>IF(($B114&gt;price_year1), 1, 0)</f>
        <v>1</v>
      </c>
      <c s="241" r="E114">
        <f>IF(($B114&gt;price_year2), 1, 0)</f>
        <v>1</v>
      </c>
      <c s="241" r="F114">
        <f>IF(($B114&gt;price_year3), 1, 0)</f>
        <v>1</v>
      </c>
      <c s="54" r="G114"/>
      <c s="54" r="H114"/>
      <c s="54" r="I114"/>
      <c s="54" r="J114"/>
      <c s="54" r="K114"/>
      <c s="54" r="L114"/>
      <c s="54" r="M114"/>
      <c s="54" r="N114"/>
      <c s="54" r="O114"/>
      <c s="54" r="P114"/>
      <c s="54" r="Q114"/>
      <c s="54" r="R114"/>
      <c s="54" r="S114"/>
      <c s="54" r="T114"/>
      <c s="54" r="U114"/>
      <c s="54" r="V114"/>
      <c s="54" r="W114"/>
      <c s="54" r="X114"/>
      <c s="54" r="Y114"/>
      <c s="54" r="Z114"/>
      <c s="54" r="AA114"/>
      <c s="54" r="AB114"/>
      <c s="54" r="AC114"/>
      <c s="54" r="AD114"/>
      <c s="54" r="AE114"/>
      <c s="54" r="AF114"/>
      <c s="54" r="AG114"/>
      <c s="54" r="AH114"/>
      <c s="54" r="AI114"/>
      <c s="54" r="AJ114"/>
      <c s="54" r="AK114"/>
    </row>
    <row customHeight="1" r="115" ht="15.0">
      <c t="str" s="54" r="A115">
        <f>'Quotable &amp; Invoicable Items'!C8</f>
        <v>$250,000 - $499,999</v>
      </c>
      <c s="427" r="B115">
        <v>500000</v>
      </c>
      <c s="144" r="C115">
        <v>0.05</v>
      </c>
      <c s="241" r="D115">
        <f>IF(AND(($B115&gt;price_year1),( price_year1&gt;$B114)), 1, 0)</f>
        <v>0</v>
      </c>
      <c s="241" r="E115">
        <f>IF(AND(($B115&gt;price_year2),( price_year2&gt;$B114)), 1, 0)</f>
        <v>0</v>
      </c>
      <c s="241" r="F115">
        <f>IF(AND(($B115&gt;price_year3),( price_year1&gt;$B114)), 1, 0)</f>
        <v>0</v>
      </c>
      <c s="54" r="G115"/>
      <c s="54" r="H115"/>
      <c s="54" r="I115"/>
      <c s="54" r="J115"/>
      <c s="54" r="K115"/>
      <c s="54" r="L115"/>
      <c s="54" r="M115"/>
      <c s="54" r="N115"/>
      <c s="54" r="O115"/>
      <c s="54" r="P115"/>
      <c s="54" r="Q115"/>
      <c s="54" r="R115"/>
      <c s="54" r="S115"/>
      <c s="54" r="T115"/>
      <c s="54" r="U115"/>
      <c s="54" r="V115"/>
      <c s="54" r="W115"/>
      <c s="54" r="X115"/>
      <c s="54" r="Y115"/>
      <c s="54" r="Z115"/>
      <c s="54" r="AA115"/>
      <c s="54" r="AB115"/>
      <c s="54" r="AC115"/>
      <c s="54" r="AD115"/>
      <c s="54" r="AE115"/>
      <c s="54" r="AF115"/>
      <c s="54" r="AG115"/>
      <c s="54" r="AH115"/>
      <c s="54" r="AI115"/>
      <c s="54" r="AJ115"/>
      <c s="54" r="AK115"/>
    </row>
    <row customHeight="1" r="116" ht="15.0">
      <c t="str" s="54" r="A116">
        <f>'Quotable &amp; Invoicable Items'!C9</f>
        <v>$500,000 - $999,999</v>
      </c>
      <c s="427" r="B116">
        <v>1000000</v>
      </c>
      <c s="144" r="C116">
        <v>0.1</v>
      </c>
      <c s="241" r="D116">
        <f>IF(AND(($B116&gt;price_year1),( price_year1&gt;$B115)), 1, 0)</f>
        <v>0</v>
      </c>
      <c s="241" r="E116">
        <f>IF(AND(($B116&gt;price_year2),( price_year2&gt;$B115)), 1, 0)</f>
        <v>0</v>
      </c>
      <c s="241" r="F116">
        <f>IF(AND(($B116&gt;price_year1),( price_year3&gt;$B115)), 1, 0)</f>
        <v>0</v>
      </c>
      <c s="54" r="G116"/>
      <c s="54" r="H116"/>
      <c s="54" r="I116"/>
      <c s="54" r="J116"/>
      <c s="54" r="K116"/>
      <c s="54" r="L116"/>
      <c s="54" r="M116"/>
      <c s="54" r="N116"/>
      <c s="54" r="O116"/>
      <c s="54" r="P116"/>
      <c s="54" r="Q116"/>
      <c s="54" r="R116"/>
      <c s="54" r="S116"/>
      <c s="54" r="T116"/>
      <c s="54" r="U116"/>
      <c s="54" r="V116"/>
      <c s="54" r="W116"/>
      <c s="54" r="X116"/>
      <c s="54" r="Y116"/>
      <c s="54" r="Z116"/>
      <c s="54" r="AA116"/>
      <c s="54" r="AB116"/>
      <c s="54" r="AC116"/>
      <c s="54" r="AD116"/>
      <c s="54" r="AE116"/>
      <c s="54" r="AF116"/>
      <c s="54" r="AG116"/>
      <c s="54" r="AH116"/>
      <c s="54" r="AI116"/>
      <c s="54" r="AJ116"/>
      <c s="54" r="AK116"/>
    </row>
    <row customHeight="1" r="117" ht="15.0">
      <c t="str" s="54" r="A117">
        <f>'Quotable &amp; Invoicable Items'!C10</f>
        <v>$1,000,000+</v>
      </c>
      <c t="s" s="116" r="B117">
        <v>392</v>
      </c>
      <c s="144" r="C117">
        <v>0.15</v>
      </c>
      <c s="241" r="D117">
        <f>IF((price_year1&gt;$B116), 1, 0)</f>
        <v>0</v>
      </c>
      <c s="241" r="E117">
        <f>IF((price_year2&gt;$B116), 1, 0)</f>
        <v>0</v>
      </c>
      <c s="241" r="F117">
        <f>IF((price_year3&gt;$B116), 1, 0)</f>
        <v>0</v>
      </c>
      <c s="54" r="G117"/>
      <c s="54" r="H117"/>
      <c s="54" r="I117"/>
      <c s="54" r="J117"/>
      <c s="54" r="K117"/>
      <c s="54" r="L117"/>
      <c s="54" r="M117"/>
      <c s="54" r="N117"/>
      <c s="54" r="O117"/>
      <c s="54" r="P117"/>
      <c s="54" r="Q117"/>
      <c s="54" r="R117"/>
      <c s="54" r="S117"/>
      <c s="54" r="T117"/>
      <c s="54" r="U117"/>
      <c s="54" r="V117"/>
      <c s="54" r="W117"/>
      <c s="54" r="X117"/>
      <c s="54" r="Y117"/>
      <c s="54" r="Z117"/>
      <c s="54" r="AA117"/>
      <c s="54" r="AB117"/>
      <c s="54" r="AC117"/>
      <c s="54" r="AD117"/>
      <c s="54" r="AE117"/>
      <c s="54" r="AF117"/>
      <c s="54" r="AG117"/>
      <c s="54" r="AH117"/>
      <c s="54" r="AI117"/>
      <c s="54" r="AJ117"/>
      <c s="54" r="AK117"/>
    </row>
    <row r="118">
      <c s="54" r="A118"/>
      <c s="54" r="B118"/>
      <c s="54" r="C118"/>
      <c s="54" r="D118"/>
      <c s="54" r="E118"/>
      <c s="54" r="F118"/>
      <c s="54" r="G118"/>
      <c s="54" r="H118"/>
      <c s="54" r="I118"/>
      <c s="54" r="J118"/>
      <c s="54" r="K118"/>
      <c s="54" r="L118"/>
      <c s="54" r="M118"/>
      <c s="54" r="N118"/>
      <c s="54" r="O118"/>
      <c s="54" r="P118"/>
      <c s="54" r="Q118"/>
      <c s="54" r="R118"/>
      <c s="54" r="S118"/>
      <c s="54" r="T118"/>
      <c s="54" r="U118"/>
      <c s="54" r="V118"/>
      <c s="54" r="W118"/>
      <c s="54" r="X118"/>
      <c s="54" r="Y118"/>
      <c s="54" r="Z118"/>
      <c s="54" r="AA118"/>
      <c s="54" r="AB118"/>
      <c s="54" r="AC118"/>
      <c s="54" r="AD118"/>
      <c s="54" r="AE118"/>
      <c s="54" r="AF118"/>
      <c s="54" r="AG118"/>
      <c s="54" r="AH118"/>
      <c s="54" r="AI118"/>
      <c s="54" r="AJ118"/>
      <c s="54" r="AK118"/>
    </row>
    <row r="119">
      <c s="54" r="A119"/>
      <c s="54" r="B119"/>
      <c s="54" r="C119"/>
      <c t="s" s="409" r="D119">
        <v>345</v>
      </c>
      <c t="s" s="409" r="E119">
        <v>346</v>
      </c>
      <c t="s" s="409" r="F119">
        <v>347</v>
      </c>
      <c s="54" r="G119"/>
      <c s="54" r="H119"/>
      <c s="54" r="I119"/>
      <c s="54" r="J119"/>
      <c s="54" r="K119"/>
      <c s="54" r="L119"/>
      <c s="54" r="M119"/>
      <c s="54" r="N119"/>
      <c s="54" r="O119"/>
      <c s="54" r="P119"/>
      <c s="54" r="Q119"/>
      <c s="54" r="R119"/>
      <c s="54" r="S119"/>
      <c s="54" r="T119"/>
      <c s="54" r="U119"/>
      <c s="54" r="V119"/>
      <c s="54" r="W119"/>
      <c s="54" r="X119"/>
      <c s="54" r="Y119"/>
      <c s="54" r="Z119"/>
      <c s="54" r="AA119"/>
      <c s="54" r="AB119"/>
      <c s="54" r="AC119"/>
      <c s="54" r="AD119"/>
      <c s="54" r="AE119"/>
      <c s="54" r="AF119"/>
      <c s="54" r="AG119"/>
      <c s="54" r="AH119"/>
      <c s="54" r="AI119"/>
      <c s="54" r="AJ119"/>
      <c s="54" r="AK119"/>
    </row>
    <row r="120">
      <c s="54" r="A120"/>
      <c s="54" r="B120"/>
      <c t="s" s="409" r="C120">
        <v>393</v>
      </c>
      <c s="144" r="D120">
        <f>VLOOKUP(1, $C114:$F117, 2)</f>
        <v>0</v>
      </c>
      <c s="144" r="E120">
        <f>VLOOKUP(1, $C114:$F117, 2)</f>
        <v>0</v>
      </c>
      <c s="144" r="F120">
        <f>VLOOKUP(1, $C114:$F117, 2)</f>
        <v>0</v>
      </c>
      <c s="54" r="G120"/>
      <c s="54" r="H120"/>
      <c s="54" r="I120"/>
      <c s="54" r="J120"/>
      <c s="54" r="K120"/>
      <c s="54" r="L120"/>
      <c s="54" r="M120"/>
      <c s="54" r="N120"/>
      <c s="54" r="O120"/>
      <c s="54" r="P120"/>
      <c s="54" r="Q120"/>
      <c s="54" r="R120"/>
      <c s="54" r="S120"/>
      <c s="54" r="T120"/>
      <c s="54" r="U120"/>
      <c s="54" r="V120"/>
      <c s="54" r="W120"/>
      <c s="54" r="X120"/>
      <c s="54" r="Y120"/>
      <c s="54" r="Z120"/>
      <c s="54" r="AA120"/>
      <c s="54" r="AB120"/>
      <c s="54" r="AC120"/>
      <c s="54" r="AD120"/>
      <c s="54" r="AE120"/>
      <c s="54" r="AF120"/>
      <c s="54" r="AG120"/>
      <c s="54" r="AH120"/>
      <c s="54" r="AI120"/>
      <c s="54" r="AJ120"/>
      <c s="54" r="AK120"/>
    </row>
    <row r="121">
      <c s="54" r="A121"/>
      <c s="54" r="B121"/>
      <c t="s" s="409" r="C121">
        <v>394</v>
      </c>
      <c t="str" s="266" r="D121">
        <f>IF(AND((D120=E120),( E120=F120)), "Yes", "No")</f>
        <v>Yes</v>
      </c>
      <c s="54" r="E121"/>
      <c s="54" r="F121"/>
      <c s="54" r="G121"/>
      <c s="54" r="H121"/>
      <c s="54" r="I121"/>
      <c s="54" r="J121"/>
      <c s="54" r="K121"/>
      <c s="54" r="L121"/>
      <c s="54" r="M121"/>
      <c s="54" r="N121"/>
      <c s="54" r="O121"/>
      <c s="54" r="P121"/>
      <c s="54" r="Q121"/>
      <c s="54" r="R121"/>
      <c s="54" r="S121"/>
      <c s="54" r="T121"/>
      <c s="54" r="U121"/>
      <c s="54" r="V121"/>
      <c s="54" r="W121"/>
      <c s="54" r="X121"/>
      <c s="54" r="Y121"/>
      <c s="54" r="Z121"/>
      <c s="54" r="AA121"/>
      <c s="54" r="AB121"/>
      <c s="54" r="AC121"/>
      <c s="54" r="AD121"/>
      <c s="54" r="AE121"/>
      <c s="54" r="AF121"/>
      <c s="54" r="AG121"/>
      <c s="54" r="AH121"/>
      <c s="54" r="AI121"/>
      <c s="54" r="AJ121"/>
      <c s="54" r="AK121"/>
    </row>
    <row r="122">
      <c s="54" r="A122"/>
      <c s="54" r="B122"/>
      <c s="54" r="C122"/>
      <c s="144" r="D122"/>
      <c s="54" r="E122"/>
      <c s="54" r="F122"/>
      <c s="54" r="G122"/>
      <c s="54" r="H122"/>
      <c s="54" r="I122"/>
      <c s="54" r="J122"/>
      <c s="54" r="K122"/>
      <c s="54" r="L122"/>
      <c s="54" r="M122"/>
      <c s="54" r="N122"/>
      <c s="54" r="O122"/>
      <c s="54" r="P122"/>
      <c s="54" r="Q122"/>
      <c s="54" r="R122"/>
      <c s="54" r="S122"/>
      <c s="54" r="T122"/>
      <c s="54" r="U122"/>
      <c s="54" r="V122"/>
      <c s="54" r="W122"/>
      <c s="54" r="X122"/>
      <c s="54" r="Y122"/>
      <c s="54" r="Z122"/>
      <c s="54" r="AA122"/>
      <c s="54" r="AB122"/>
      <c s="54" r="AC122"/>
      <c s="54" r="AD122"/>
      <c s="54" r="AE122"/>
      <c s="54" r="AF122"/>
      <c s="54" r="AG122"/>
      <c s="54" r="AH122"/>
      <c s="54" r="AI122"/>
      <c s="54" r="AJ122"/>
      <c s="54" r="AK122"/>
    </row>
    <row r="123">
      <c t="s" s="233" r="A123">
        <v>395</v>
      </c>
      <c s="54" r="B123"/>
      <c s="54" r="C123"/>
      <c s="144" r="D123"/>
      <c s="54" r="E123"/>
      <c s="54" r="F123"/>
      <c s="54" r="G123"/>
      <c s="54" r="H123"/>
      <c s="54" r="I123"/>
      <c s="54" r="J123"/>
      <c s="54" r="K123"/>
      <c s="54" r="L123"/>
      <c s="54" r="M123"/>
      <c s="54" r="N123"/>
      <c s="54" r="O123"/>
      <c s="54" r="P123"/>
      <c s="54" r="Q123"/>
      <c s="54" r="R123"/>
      <c s="54" r="S123"/>
      <c s="54" r="T123"/>
      <c s="54" r="U123"/>
      <c s="54" r="V123"/>
      <c s="54" r="W123"/>
      <c s="54" r="X123"/>
      <c s="54" r="Y123"/>
      <c s="54" r="Z123"/>
      <c s="54" r="AA123"/>
      <c s="54" r="AB123"/>
      <c s="54" r="AC123"/>
      <c s="54" r="AD123"/>
      <c s="54" r="AE123"/>
      <c s="54" r="AF123"/>
      <c s="54" r="AG123"/>
      <c s="54" r="AH123"/>
      <c s="54" r="AI123"/>
      <c s="54" r="AJ123"/>
      <c s="54" r="AK123"/>
    </row>
    <row r="124">
      <c t="s" s="29" r="A124">
        <v>396</v>
      </c>
      <c s="144" r="B124">
        <v>0.15</v>
      </c>
      <c s="54" r="C124"/>
      <c s="144" r="D124"/>
      <c s="54" r="E124"/>
      <c s="54" r="F124"/>
      <c s="54" r="G124"/>
      <c s="54" r="H124"/>
      <c s="54" r="I124"/>
      <c s="54" r="J124"/>
      <c s="54" r="K124"/>
      <c s="54" r="L124"/>
      <c s="54" r="M124"/>
      <c s="54" r="N124"/>
      <c s="54" r="O124"/>
      <c s="54" r="P124"/>
      <c s="54" r="Q124"/>
      <c s="54" r="R124"/>
      <c s="54" r="S124"/>
      <c s="54" r="T124"/>
      <c s="54" r="U124"/>
      <c s="54" r="V124"/>
      <c s="54" r="W124"/>
      <c s="54" r="X124"/>
      <c s="54" r="Y124"/>
      <c s="54" r="Z124"/>
      <c s="54" r="AA124"/>
      <c s="54" r="AB124"/>
      <c s="54" r="AC124"/>
      <c s="54" r="AD124"/>
      <c s="54" r="AE124"/>
      <c s="54" r="AF124"/>
      <c s="54" r="AG124"/>
      <c s="54" r="AH124"/>
      <c s="54" r="AI124"/>
      <c s="54" r="AJ124"/>
      <c s="54" r="AK124"/>
    </row>
    <row r="125">
      <c t="s" s="241" r="A125">
        <v>397</v>
      </c>
      <c s="144" r="B125">
        <v>0.05</v>
      </c>
      <c s="54" r="C125"/>
      <c s="54" r="D125"/>
      <c s="54" r="E125"/>
      <c s="54" r="F125"/>
      <c s="54" r="G125"/>
      <c s="54" r="H125"/>
      <c s="54" r="I125"/>
      <c s="54" r="J125"/>
      <c s="54" r="K125"/>
      <c s="54" r="L125"/>
      <c s="54" r="M125"/>
      <c s="54" r="N125"/>
      <c s="54" r="O125"/>
      <c s="54" r="P125"/>
      <c s="54" r="Q125"/>
      <c s="54" r="R125"/>
      <c s="54" r="S125"/>
      <c s="54" r="T125"/>
      <c s="54" r="U125"/>
      <c s="54" r="V125"/>
      <c s="54" r="W125"/>
      <c s="54" r="X125"/>
      <c s="54" r="Y125"/>
      <c s="54" r="Z125"/>
      <c s="54" r="AA125"/>
      <c s="54" r="AB125"/>
      <c s="54" r="AC125"/>
      <c s="54" r="AD125"/>
      <c s="54" r="AE125"/>
      <c s="54" r="AF125"/>
      <c s="54" r="AG125"/>
      <c s="54" r="AH125"/>
      <c s="54" r="AI125"/>
      <c s="54" r="AJ125"/>
      <c s="54" r="AK125"/>
    </row>
    <row r="126">
      <c s="54" r="A126"/>
      <c s="54" r="B126"/>
      <c s="54" r="C126"/>
      <c s="54" r="D126"/>
      <c s="54" r="E126"/>
      <c s="54" r="F126"/>
      <c s="54" r="G126"/>
      <c s="54" r="H126"/>
      <c s="54" r="I126"/>
      <c s="54" r="J126"/>
      <c s="54" r="K126"/>
      <c s="54" r="L126"/>
      <c s="54" r="M126"/>
      <c s="54" r="N126"/>
      <c s="54" r="O126"/>
      <c s="54" r="P126"/>
      <c s="54" r="Q126"/>
      <c s="54" r="R126"/>
      <c s="54" r="S126"/>
      <c s="54" r="T126"/>
      <c s="54" r="U126"/>
      <c s="54" r="V126"/>
      <c s="54" r="W126"/>
      <c s="54" r="X126"/>
      <c s="54" r="Y126"/>
      <c s="54" r="Z126"/>
      <c s="54" r="AA126"/>
      <c s="54" r="AB126"/>
      <c s="54" r="AC126"/>
      <c s="54" r="AD126"/>
      <c s="54" r="AE126"/>
      <c s="54" r="AF126"/>
      <c s="54" r="AG126"/>
      <c s="54" r="AH126"/>
      <c s="54" r="AI126"/>
      <c s="54" r="AJ126"/>
      <c s="54" r="AK126"/>
    </row>
    <row r="127">
      <c s="54" r="A127"/>
      <c s="54" r="B127"/>
      <c s="54" r="C127"/>
      <c s="54" r="D127"/>
      <c s="54" r="E127"/>
      <c s="54" r="F127"/>
      <c s="54" r="G127"/>
      <c s="54" r="H127"/>
      <c s="54" r="I127"/>
      <c s="54" r="J127"/>
      <c s="54" r="K127"/>
      <c s="54" r="L127"/>
      <c s="54" r="M127"/>
      <c s="54" r="N127"/>
      <c s="54" r="O127"/>
      <c s="54" r="P127"/>
      <c s="54" r="Q127"/>
      <c s="54" r="R127"/>
      <c s="54" r="S127"/>
      <c s="54" r="T127"/>
      <c s="54" r="U127"/>
      <c s="54" r="V127"/>
      <c s="54" r="W127"/>
      <c s="54" r="X127"/>
      <c s="54" r="Y127"/>
      <c s="54" r="Z127"/>
      <c s="54" r="AA127"/>
      <c s="54" r="AB127"/>
      <c s="54" r="AC127"/>
      <c s="54" r="AD127"/>
      <c s="54" r="AE127"/>
      <c s="54" r="AF127"/>
      <c s="54" r="AG127"/>
      <c s="54" r="AH127"/>
      <c s="54" r="AI127"/>
      <c s="54" r="AJ127"/>
      <c s="54" r="AK127"/>
    </row>
    <row r="128">
      <c t="s" s="233" r="A128">
        <v>398</v>
      </c>
      <c s="54" r="B128"/>
      <c s="54" r="C128"/>
      <c s="54" r="D128"/>
      <c s="54" r="E128"/>
      <c s="54" r="F128"/>
      <c s="54" r="G128"/>
      <c s="54" r="H128"/>
      <c s="54" r="I128"/>
      <c s="54" r="J128"/>
      <c s="54" r="K128"/>
      <c s="54" r="L128"/>
      <c s="54" r="M128"/>
      <c s="54" r="N128"/>
      <c s="54" r="O128"/>
      <c s="54" r="P128"/>
      <c s="54" r="Q128"/>
      <c s="54" r="R128"/>
      <c s="54" r="S128"/>
      <c s="54" r="T128"/>
      <c s="54" r="U128"/>
      <c s="54" r="V128"/>
      <c s="54" r="W128"/>
      <c s="54" r="X128"/>
      <c s="54" r="Y128"/>
      <c s="54" r="Z128"/>
      <c s="54" r="AA128"/>
      <c s="54" r="AB128"/>
      <c s="54" r="AC128"/>
      <c s="54" r="AD128"/>
      <c s="54" r="AE128"/>
      <c s="54" r="AF128"/>
      <c s="54" r="AG128"/>
      <c s="54" r="AH128"/>
      <c s="54" r="AI128"/>
      <c s="54" r="AJ128"/>
      <c s="54" r="AK128"/>
    </row>
    <row r="129">
      <c t="s" s="241" r="A129">
        <v>399</v>
      </c>
      <c s="54" r="B129"/>
      <c s="54" r="C129"/>
      <c s="54" r="D129"/>
      <c s="54" r="E129"/>
      <c s="54" r="F129"/>
      <c s="54" r="G129"/>
      <c s="54" r="H129"/>
      <c s="54" r="I129"/>
      <c s="54" r="J129"/>
      <c s="54" r="K129"/>
      <c s="54" r="L129"/>
      <c s="54" r="M129"/>
      <c s="54" r="N129"/>
      <c s="54" r="O129"/>
      <c s="54" r="P129"/>
      <c s="54" r="Q129"/>
      <c s="54" r="R129"/>
      <c s="54" r="S129"/>
      <c s="54" r="T129"/>
      <c s="54" r="U129"/>
      <c s="54" r="V129"/>
      <c s="54" r="W129"/>
      <c s="54" r="X129"/>
      <c s="54" r="Y129"/>
      <c s="54" r="Z129"/>
      <c s="54" r="AA129"/>
      <c s="54" r="AB129"/>
      <c s="54" r="AC129"/>
      <c s="54" r="AD129"/>
      <c s="54" r="AE129"/>
      <c s="54" r="AF129"/>
      <c s="54" r="AG129"/>
      <c s="54" r="AH129"/>
      <c s="54" r="AI129"/>
      <c s="54" r="AJ129"/>
      <c s="54" r="AK129"/>
    </row>
    <row r="130">
      <c s="441" r="A130"/>
      <c s="375" r="B130"/>
      <c s="375" r="C130"/>
      <c s="375" r="D130"/>
      <c s="54" r="E130"/>
      <c s="54" r="F130"/>
      <c s="54" r="G130"/>
      <c s="54" r="H130"/>
      <c s="54" r="I130"/>
      <c s="54" r="J130"/>
      <c s="54" r="K130"/>
      <c s="54" r="L130"/>
      <c s="54" r="M130"/>
      <c s="54" r="N130"/>
      <c s="54" r="O130"/>
      <c s="54" r="P130"/>
      <c s="54" r="Q130"/>
      <c s="54" r="R130"/>
      <c s="54" r="S130"/>
      <c s="54" r="T130"/>
      <c s="54" r="U130"/>
      <c s="54" r="V130"/>
      <c s="54" r="W130"/>
      <c s="54" r="X130"/>
      <c s="54" r="Y130"/>
      <c s="54" r="Z130"/>
      <c s="54" r="AA130"/>
      <c s="54" r="AB130"/>
      <c s="54" r="AC130"/>
      <c s="54" r="AD130"/>
      <c s="54" r="AE130"/>
      <c s="54" r="AF130"/>
      <c s="54" r="AG130"/>
      <c s="54" r="AH130"/>
      <c s="54" r="AI130"/>
      <c s="54" r="AJ130"/>
      <c s="54" r="AK130"/>
    </row>
    <row customHeight="1" r="131" ht="42.0">
      <c t="s" s="105" r="A131">
        <v>400</v>
      </c>
      <c t="s" s="250" r="B131">
        <v>401</v>
      </c>
      <c t="s" s="250" r="C131">
        <v>402</v>
      </c>
      <c t="s" s="47" r="D131">
        <v>403</v>
      </c>
      <c s="132" r="E131"/>
      <c s="54" r="F131"/>
      <c s="54" r="G131"/>
      <c s="54" r="H131"/>
      <c s="54" r="I131"/>
      <c s="54" r="J131"/>
      <c s="54" r="K131"/>
      <c s="54" r="L131"/>
      <c s="54" r="M131"/>
      <c s="54" r="N131"/>
      <c s="54" r="O131"/>
      <c s="54" r="P131"/>
      <c s="54" r="Q131"/>
      <c s="54" r="R131"/>
      <c s="54" r="S131"/>
      <c s="54" r="T131"/>
      <c s="54" r="U131"/>
      <c s="54" r="V131"/>
      <c s="54" r="W131"/>
      <c s="54" r="X131"/>
      <c s="54" r="Y131"/>
      <c s="54" r="Z131"/>
      <c s="54" r="AA131"/>
      <c s="54" r="AB131"/>
      <c s="54" r="AC131"/>
      <c s="54" r="AD131"/>
      <c s="54" r="AE131"/>
      <c s="54" r="AF131"/>
      <c s="54" r="AG131"/>
      <c s="54" r="AH131"/>
      <c s="54" r="AI131"/>
      <c s="54" r="AJ131"/>
      <c s="54" r="AK131"/>
    </row>
    <row r="132">
      <c s="111" r="A132"/>
      <c t="str" s="214" r="B132">
        <f>IF((customer_volume_discount_band_same_across_years="Yes"), "", "Year 1")</f>
        <v/>
      </c>
      <c t="str" s="214" r="C132">
        <f>IF((customer_volume_discount_band_same_across_years="Yes"), "", "Year 1")</f>
        <v/>
      </c>
      <c t="str" s="200" r="D132">
        <f>IF((customer_volume_discount_band_same_across_years="Yes"), "", "Year 1")</f>
        <v/>
      </c>
      <c s="132" r="E132"/>
      <c s="54" r="F132"/>
      <c s="54" r="G132"/>
      <c s="54" r="H132"/>
      <c s="54" r="I132"/>
      <c s="54" r="J132"/>
      <c s="54" r="K132"/>
      <c s="54" r="L132"/>
      <c s="54" r="M132"/>
      <c s="54" r="N132"/>
      <c s="54" r="O132"/>
      <c s="54" r="P132"/>
      <c s="54" r="Q132"/>
      <c s="54" r="R132"/>
      <c s="54" r="S132"/>
      <c s="54" r="T132"/>
      <c s="54" r="U132"/>
      <c s="54" r="V132"/>
      <c s="54" r="W132"/>
      <c s="54" r="X132"/>
      <c s="54" r="Y132"/>
      <c s="54" r="Z132"/>
      <c s="54" r="AA132"/>
      <c s="54" r="AB132"/>
      <c s="54" r="AC132"/>
      <c s="54" r="AD132"/>
      <c s="54" r="AE132"/>
      <c s="54" r="AF132"/>
      <c s="54" r="AG132"/>
      <c s="54" r="AH132"/>
      <c s="54" r="AI132"/>
      <c s="54" r="AJ132"/>
      <c s="54" r="AK132"/>
    </row>
    <row r="133">
      <c t="str" s="111" r="A133">
        <f>A107</f>
        <v>COMMITTED VOLUME PLAN - 1Y; PAID UPFRONT</v>
      </c>
      <c s="398" r="B133">
        <f>$B107+VLOOKUP(1, $C113:$F117, 2)</f>
        <v>0.15</v>
      </c>
      <c s="398" r="C133">
        <f>storage_discount-B133</f>
        <v>0.6</v>
      </c>
      <c s="145" r="D133">
        <f>compute_discount-B133</f>
        <v>0.25</v>
      </c>
      <c s="132" r="E133"/>
      <c s="54" r="F133"/>
      <c s="54" r="G133"/>
      <c s="54" r="H133"/>
      <c s="54" r="I133"/>
      <c s="54" r="J133"/>
      <c s="54" r="K133"/>
      <c s="54" r="L133"/>
      <c s="54" r="M133"/>
      <c s="54" r="N133"/>
      <c s="54" r="O133"/>
      <c s="54" r="P133"/>
      <c s="54" r="Q133"/>
      <c s="54" r="R133"/>
      <c s="54" r="S133"/>
      <c s="54" r="T133"/>
      <c s="54" r="U133"/>
      <c s="54" r="V133"/>
      <c s="54" r="W133"/>
      <c s="54" r="X133"/>
      <c s="54" r="Y133"/>
      <c s="54" r="Z133"/>
      <c s="54" r="AA133"/>
      <c s="54" r="AB133"/>
      <c s="54" r="AC133"/>
      <c s="54" r="AD133"/>
      <c s="54" r="AE133"/>
      <c s="54" r="AF133"/>
      <c s="54" r="AG133"/>
      <c s="54" r="AH133"/>
      <c s="54" r="AI133"/>
      <c s="54" r="AJ133"/>
      <c s="54" r="AK133"/>
    </row>
    <row r="134">
      <c t="str" s="111" r="A134">
        <f>A108</f>
        <v>COMMITTED VOLUME PLAN - 1Y; PAID BI-ANNUALLY</v>
      </c>
      <c s="398" r="B134">
        <f>$B108+VLOOKUP(1, $C114:$F118, 2)</f>
        <v>0.05</v>
      </c>
      <c s="398" r="C134">
        <f>storage_discount-B134</f>
        <v>0.7</v>
      </c>
      <c s="145" r="D134">
        <f>compute_discount-B134</f>
        <v>0.35</v>
      </c>
      <c s="132" r="E134"/>
      <c s="54" r="F134"/>
      <c s="54" r="G134"/>
      <c s="54" r="H134"/>
      <c s="54" r="I134"/>
      <c s="54" r="J134"/>
      <c s="54" r="K134"/>
      <c s="54" r="L134"/>
      <c s="54" r="M134"/>
      <c s="54" r="N134"/>
      <c s="54" r="O134"/>
      <c s="54" r="P134"/>
      <c s="54" r="Q134"/>
      <c s="54" r="R134"/>
      <c s="54" r="S134"/>
      <c s="54" r="T134"/>
      <c s="54" r="U134"/>
      <c s="54" r="V134"/>
      <c s="54" r="W134"/>
      <c s="54" r="X134"/>
      <c s="54" r="Y134"/>
      <c s="54" r="Z134"/>
      <c s="54" r="AA134"/>
      <c s="54" r="AB134"/>
      <c s="54" r="AC134"/>
      <c s="54" r="AD134"/>
      <c s="54" r="AE134"/>
      <c s="54" r="AF134"/>
      <c s="54" r="AG134"/>
      <c s="54" r="AH134"/>
      <c s="54" r="AI134"/>
      <c s="54" r="AJ134"/>
      <c s="54" r="AK134"/>
    </row>
    <row r="135">
      <c t="str" s="111" r="A135">
        <f>A109</f>
        <v>COMMITTED VOLUME PLAN - 3Y; PAID UPFRONT</v>
      </c>
      <c t="str" s="398" r="B135">
        <f>$B109+VLOOKUP(1, $C115:$F119, 2)</f>
        <v>#N/A:lookupNotFound:1</v>
      </c>
      <c t="str" s="398" r="C135">
        <f>storage_discount-B135</f>
        <v>#N/A:lookupNotFound:1</v>
      </c>
      <c t="str" s="145" r="D135">
        <f>compute_discount-B135</f>
        <v>#N/A:lookupNotFound:1</v>
      </c>
      <c s="132" r="E135"/>
      <c s="54" r="F135"/>
      <c s="54" r="G135"/>
      <c s="54" r="H135"/>
      <c s="54" r="I135"/>
      <c s="54" r="J135"/>
      <c s="54" r="K135"/>
      <c s="54" r="L135"/>
      <c s="54" r="M135"/>
      <c s="54" r="N135"/>
      <c s="54" r="O135"/>
      <c s="54" r="P135"/>
      <c s="54" r="Q135"/>
      <c s="54" r="R135"/>
      <c s="54" r="S135"/>
      <c s="54" r="T135"/>
      <c s="54" r="U135"/>
      <c s="54" r="V135"/>
      <c s="54" r="W135"/>
      <c s="54" r="X135"/>
      <c s="54" r="Y135"/>
      <c s="54" r="Z135"/>
      <c s="54" r="AA135"/>
      <c s="54" r="AB135"/>
      <c s="54" r="AC135"/>
      <c s="54" r="AD135"/>
      <c s="54" r="AE135"/>
      <c s="54" r="AF135"/>
      <c s="54" r="AG135"/>
      <c s="54" r="AH135"/>
      <c s="54" r="AI135"/>
      <c s="54" r="AJ135"/>
      <c s="54" r="AK135"/>
    </row>
    <row r="136">
      <c t="str" s="111" r="A136">
        <f>A110</f>
        <v>COMMITTED VOLUME PLAN - 3Y; PAID BI-ANNUALLY</v>
      </c>
      <c s="398" r="B136">
        <f>$B110+VLOOKUP(1, $C116:$F120, 2)</f>
        <v>0</v>
      </c>
      <c s="398" r="C136">
        <f>storage_discount-B136</f>
        <v>0.75</v>
      </c>
      <c s="145" r="D136">
        <f>compute_discount-B136</f>
        <v>0.4</v>
      </c>
      <c s="132" r="E136"/>
      <c s="54" r="F136"/>
      <c s="54" r="G136"/>
      <c s="54" r="H136"/>
      <c s="54" r="I136"/>
      <c s="54" r="J136"/>
      <c s="54" r="K136"/>
      <c s="54" r="L136"/>
      <c s="54" r="M136"/>
      <c s="54" r="N136"/>
      <c s="54" r="O136"/>
      <c s="54" r="P136"/>
      <c s="54" r="Q136"/>
      <c s="54" r="R136"/>
      <c s="54" r="S136"/>
      <c s="54" r="T136"/>
      <c s="54" r="U136"/>
      <c s="54" r="V136"/>
      <c s="54" r="W136"/>
      <c s="54" r="X136"/>
      <c s="54" r="Y136"/>
      <c s="54" r="Z136"/>
      <c s="54" r="AA136"/>
      <c s="54" r="AB136"/>
      <c s="54" r="AC136"/>
      <c s="54" r="AD136"/>
      <c s="54" r="AE136"/>
      <c s="54" r="AF136"/>
      <c s="54" r="AG136"/>
      <c s="54" r="AH136"/>
      <c s="54" r="AI136"/>
      <c s="54" r="AJ136"/>
      <c s="54" r="AK136"/>
    </row>
    <row r="137">
      <c t="str" s="34" r="A137">
        <f>A111</f>
        <v>FLEXIBLE VOLUME PLAN</v>
      </c>
      <c t="str" s="406" r="B137">
        <f>$B111+VLOOKUP(1, $C117:$F121, 2)</f>
        <v>#N/A:lookupNotFound:1</v>
      </c>
      <c t="str" s="406" r="C137">
        <f>storage_discount-B137</f>
        <v>#N/A:lookupNotFound:1</v>
      </c>
      <c t="str" s="424" r="D137">
        <f>compute_discount-B137</f>
        <v>#N/A:lookupNotFound:1</v>
      </c>
      <c s="132" r="E137"/>
      <c s="54" r="F137"/>
      <c s="54" r="G137"/>
      <c s="54" r="H137"/>
      <c s="54" r="I137"/>
      <c s="54" r="J137"/>
      <c s="54" r="K137"/>
      <c s="54" r="L137"/>
      <c s="54" r="M137"/>
      <c s="54" r="N137"/>
      <c s="54" r="O137"/>
      <c s="54" r="P137"/>
      <c s="54" r="Q137"/>
      <c s="54" r="R137"/>
      <c s="54" r="S137"/>
      <c s="54" r="T137"/>
      <c s="54" r="U137"/>
      <c s="54" r="V137"/>
      <c s="54" r="W137"/>
      <c s="54" r="X137"/>
      <c s="54" r="Y137"/>
      <c s="54" r="Z137"/>
      <c s="54" r="AA137"/>
      <c s="54" r="AB137"/>
      <c s="54" r="AC137"/>
      <c s="54" r="AD137"/>
      <c s="54" r="AE137"/>
      <c s="54" r="AF137"/>
      <c s="54" r="AG137"/>
      <c s="54" r="AH137"/>
      <c s="54" r="AI137"/>
      <c s="54" r="AJ137"/>
      <c s="54" r="AK137"/>
    </row>
    <row r="138">
      <c s="68" r="A138"/>
      <c s="68" r="B138"/>
      <c s="68" r="C138"/>
      <c s="68" r="D138"/>
      <c s="54" r="E138"/>
      <c s="54" r="F138"/>
      <c s="54" r="G138"/>
      <c s="54" r="H138"/>
      <c s="54" r="I138"/>
      <c s="54" r="J138"/>
      <c s="54" r="K138"/>
      <c s="54" r="L138"/>
      <c s="54" r="M138"/>
      <c s="54" r="N138"/>
      <c s="54" r="O138"/>
      <c s="54" r="P138"/>
      <c s="54" r="Q138"/>
      <c s="54" r="R138"/>
      <c s="54" r="S138"/>
      <c s="54" r="T138"/>
      <c s="54" r="U138"/>
      <c s="54" r="V138"/>
      <c s="54" r="W138"/>
      <c s="54" r="X138"/>
      <c s="54" r="Y138"/>
      <c s="54" r="Z138"/>
      <c s="54" r="AA138"/>
      <c s="54" r="AB138"/>
      <c s="54" r="AC138"/>
      <c s="54" r="AD138"/>
      <c s="54" r="AE138"/>
      <c s="54" r="AF138"/>
      <c s="54" r="AG138"/>
      <c s="54" r="AH138"/>
      <c s="54" r="AI138"/>
      <c s="54" r="AJ138"/>
      <c s="54" r="AK138"/>
    </row>
    <row r="139">
      <c t="s" s="241" r="A139">
        <v>404</v>
      </c>
      <c s="54" r="B139"/>
      <c s="54" r="C139"/>
      <c s="54" r="D139"/>
      <c s="54" r="E139"/>
      <c s="54" r="F139"/>
      <c s="54" r="G139"/>
      <c s="54" r="H139"/>
      <c s="54" r="I139"/>
      <c s="54" r="J139"/>
      <c s="54" r="K139"/>
      <c s="54" r="L139"/>
      <c s="54" r="M139"/>
      <c s="54" r="N139"/>
      <c s="54" r="O139"/>
      <c s="54" r="P139"/>
      <c s="54" r="Q139"/>
      <c s="54" r="R139"/>
      <c s="54" r="S139"/>
      <c s="54" r="T139"/>
      <c s="54" r="U139"/>
      <c s="54" r="V139"/>
      <c s="54" r="W139"/>
      <c s="54" r="X139"/>
      <c s="54" r="Y139"/>
      <c s="54" r="Z139"/>
      <c s="54" r="AA139"/>
      <c s="54" r="AB139"/>
      <c s="54" r="AC139"/>
      <c s="54" r="AD139"/>
      <c s="54" r="AE139"/>
      <c s="54" r="AF139"/>
      <c s="54" r="AG139"/>
      <c s="54" r="AH139"/>
      <c s="54" r="AI139"/>
      <c s="54" r="AJ139"/>
      <c s="54" r="AK139"/>
    </row>
    <row r="140">
      <c t="str" s="241" r="A140">
        <f>CONCATENATE(IF(OR((MAX(C133:C137)&gt;B124),(MAX(D133:D137)&gt;B125)),"The discounts highlighted in RED above exceed ","The discounts are within "), "the allowed thresholds. If you would like to change discounts, use Section A in the Calculator worksheet")</f>
        <v>#N/A:lookupNotFound:1</v>
      </c>
      <c s="54" r="B140"/>
      <c s="54" r="C140"/>
      <c s="54" r="D140"/>
      <c s="54" r="E140"/>
      <c s="54" r="F140"/>
      <c s="54" r="G140"/>
      <c s="54" r="H140"/>
      <c s="54" r="I140"/>
      <c s="54" r="J140"/>
      <c s="54" r="K140"/>
      <c s="54" r="L140"/>
      <c s="54" r="M140"/>
      <c s="54" r="N140"/>
      <c s="54" r="O140"/>
      <c s="54" r="P140"/>
      <c s="54" r="Q140"/>
      <c s="54" r="R140"/>
      <c s="54" r="S140"/>
      <c s="54" r="T140"/>
      <c s="54" r="U140"/>
      <c s="54" r="V140"/>
      <c s="54" r="W140"/>
      <c s="54" r="X140"/>
      <c s="54" r="Y140"/>
      <c s="54" r="Z140"/>
      <c s="54" r="AA140"/>
      <c s="54" r="AB140"/>
      <c s="54" r="AC140"/>
      <c s="54" r="AD140"/>
      <c s="54" r="AE140"/>
      <c s="54" r="AF140"/>
      <c s="54" r="AG140"/>
      <c s="54" r="AH140"/>
      <c s="54" r="AI140"/>
      <c s="54" r="AJ140"/>
      <c s="54" r="AK140"/>
    </row>
  </sheetData>
  <conditionalFormatting sqref="D133 D134 D135 D136 D137">
    <cfRule priority="1" type="cellIs" operator="greaterThan" stopIfTrue="1" dxfId="0">
      <formula>$B$125</formula>
    </cfRule>
  </conditionalFormatting>
  <conditionalFormatting sqref="C133 C134 C135 C136 C137">
    <cfRule priority="1" type="cellIs" operator="greaterThan" stopIfTrue="1" dxfId="0">
      <formula>$B$124</formula>
    </cfRule>
  </conditionalFormatting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8" ySplit="7.0" activePane="bottomLeft" state="frozen"/>
      <selection sqref="A8" activeCell="A8" pane="bottomLeft"/>
    </sheetView>
  </sheetViews>
  <sheetFormatPr customHeight="1" defaultColWidth="30.57" defaultRowHeight="15.75"/>
  <cols>
    <col min="1" customWidth="1" max="1" style="351" width="65.57"/>
    <col min="2" customWidth="1" max="2" style="351" width="26.14"/>
    <col min="3" customWidth="1" max="3" style="351" width="7.0"/>
    <col min="4" customWidth="1" max="4" style="351" width="45.86"/>
    <col min="5" customWidth="1" max="5" style="351" width="30.43"/>
    <col min="6" customWidth="1" max="7" style="351" width="26.57"/>
    <col min="8" customWidth="1" max="9" style="351" width="30.57"/>
    <col min="10" customWidth="1" max="10" style="351" hidden="1" width="24.86"/>
    <col min="11" customWidth="1" max="11" style="351" hidden="1" width="13.43"/>
    <col min="12" customWidth="1" max="12" style="351" hidden="1" width="20.14"/>
    <col min="13" customWidth="1" max="13" style="351" hidden="1" width="24.57"/>
    <col min="14" customWidth="1" max="14" style="351" hidden="1" width="15.43"/>
    <col min="15" customWidth="1" max="15" style="351" width="41.29"/>
    <col min="16" customWidth="1" max="16" style="351" width="15.43"/>
    <col min="17" customWidth="1" max="17" style="351" width="16.29"/>
    <col min="18" customWidth="1" max="18" style="351" width="31.43"/>
    <col min="19" customWidth="1" max="34" style="351" width="15.43"/>
  </cols>
  <sheetData>
    <row customHeight="1" r="1" ht="24.0">
      <c t="s" s="368" r="A1">
        <v>405</v>
      </c>
      <c s="7" r="B1"/>
      <c s="78" r="C1"/>
      <c s="78" r="D1"/>
      <c s="78" r="E1"/>
      <c s="78" r="F1"/>
      <c s="78" r="G1"/>
      <c s="148" r="H1"/>
      <c s="313" r="I1"/>
      <c s="132" r="J1"/>
      <c s="54" r="K1"/>
      <c s="54" r="L1"/>
      <c s="54" r="M1"/>
      <c s="54" r="N1"/>
      <c s="54" r="O1"/>
      <c s="54" r="P1"/>
      <c s="54" r="Q1"/>
      <c s="54" r="R1"/>
      <c s="54" r="S1"/>
      <c s="54" r="T1"/>
      <c s="54" r="U1"/>
      <c s="54" r="V1"/>
      <c s="54" r="W1"/>
      <c s="54" r="X1"/>
      <c s="54" r="Y1"/>
      <c s="54" r="Z1"/>
      <c s="54" r="AA1"/>
      <c s="54" r="AB1"/>
      <c s="54" r="AC1"/>
      <c s="54" r="AD1"/>
      <c s="54" r="AE1"/>
      <c s="54" r="AF1"/>
      <c s="54" r="AG1"/>
      <c s="54" r="AH1"/>
    </row>
    <row customHeight="1" r="2" ht="18.0">
      <c s="272" r="A2"/>
      <c s="12" r="B2"/>
      <c s="388" r="C2"/>
      <c t="s" s="234" r="D2">
        <v>406</v>
      </c>
      <c t="s" s="50" r="E2">
        <v>345</v>
      </c>
      <c t="s" s="50" r="F2">
        <v>346</v>
      </c>
      <c t="s" s="273" r="G2">
        <v>347</v>
      </c>
      <c t="s" s="208" r="H2">
        <v>407</v>
      </c>
      <c s="99" r="I2"/>
      <c s="132" r="J2"/>
      <c s="54" r="K2"/>
      <c s="54" r="L2"/>
      <c s="54" r="M2"/>
      <c s="54" r="N2"/>
      <c s="54" r="O2"/>
      <c s="54" r="P2"/>
      <c s="54" r="Q2"/>
      <c s="54" r="R2"/>
      <c s="54" r="S2"/>
      <c s="54" r="T2"/>
      <c s="54" r="U2"/>
      <c s="54" r="V2"/>
      <c s="54" r="W2"/>
      <c s="54" r="X2"/>
      <c s="54" r="Y2"/>
      <c s="54" r="Z2"/>
      <c s="54" r="AA2"/>
      <c s="54" r="AB2"/>
      <c s="54" r="AC2"/>
      <c s="54" r="AD2"/>
      <c s="54" r="AE2"/>
      <c s="54" r="AF2"/>
      <c s="54" r="AG2"/>
      <c s="54" r="AH2"/>
    </row>
    <row customHeight="1" r="3" ht="21.0">
      <c t="s" s="146" r="A3">
        <v>408</v>
      </c>
      <c s="357" r="B3"/>
      <c s="356" r="C3"/>
      <c t="s" s="317" r="D3">
        <v>155</v>
      </c>
      <c s="413" r="E3">
        <f>G93</f>
        <v>116856.432</v>
      </c>
      <c s="413" r="F3">
        <f>H93</f>
        <v>116856.432</v>
      </c>
      <c s="151" r="G3">
        <f>I93</f>
        <v>116856.432</v>
      </c>
      <c s="153" r="H3">
        <f>SUM(E3:G3)</f>
        <v>350569.296</v>
      </c>
      <c s="27" r="I3"/>
      <c s="132" r="J3"/>
      <c s="54" r="K3"/>
      <c s="54" r="L3"/>
      <c s="54" r="M3"/>
      <c s="54" r="N3"/>
      <c s="54" r="O3"/>
      <c s="54" r="P3"/>
      <c s="54" r="Q3"/>
      <c s="54" r="R3"/>
      <c s="54" r="S3"/>
      <c s="54" r="T3"/>
      <c s="54" r="U3"/>
      <c s="54" r="V3"/>
      <c s="54" r="W3"/>
      <c s="54" r="X3"/>
      <c s="54" r="Y3"/>
      <c s="54" r="Z3"/>
      <c s="54" r="AA3"/>
      <c s="54" r="AB3"/>
      <c s="54" r="AC3"/>
      <c s="54" r="AD3"/>
      <c s="54" r="AE3"/>
      <c s="54" r="AF3"/>
      <c s="54" r="AG3"/>
      <c s="54" r="AH3"/>
    </row>
    <row r="4">
      <c t="s" s="395" r="A4">
        <v>409</v>
      </c>
      <c s="357" r="B4"/>
      <c s="356" r="C4"/>
      <c t="s" s="216" r="D4">
        <v>237</v>
      </c>
      <c s="46" r="E4">
        <f>G111</f>
        <v>7005.90672960954</v>
      </c>
      <c s="46" r="F4">
        <f>H111</f>
        <v>7275.73295592255</v>
      </c>
      <c s="420" r="G4">
        <f>I111</f>
        <v>7617.93785340179</v>
      </c>
      <c s="112" r="H4">
        <f>SUM(E4:G4)</f>
        <v>21899.5775389339</v>
      </c>
      <c s="27" r="I4"/>
      <c s="132" r="J4"/>
      <c s="54" r="K4"/>
      <c s="54" r="L4"/>
      <c s="54" r="M4"/>
      <c s="54" r="N4"/>
      <c s="54" r="O4"/>
      <c s="54" r="P4"/>
      <c s="54" r="Q4"/>
      <c s="54" r="R4"/>
      <c s="54" r="S4"/>
      <c s="54" r="T4"/>
      <c s="54" r="U4"/>
      <c s="54" r="V4"/>
      <c s="54" r="W4"/>
      <c s="54" r="X4"/>
      <c s="54" r="Y4"/>
      <c s="54" r="Z4"/>
      <c s="54" r="AA4"/>
      <c s="54" r="AB4"/>
      <c s="54" r="AC4"/>
      <c s="54" r="AD4"/>
      <c s="54" r="AE4"/>
      <c s="54" r="AF4"/>
      <c s="54" r="AG4"/>
      <c s="54" r="AH4"/>
    </row>
    <row r="5">
      <c t="s" s="395" r="A5">
        <v>410</v>
      </c>
      <c s="357" r="B5"/>
      <c s="356" r="C5"/>
      <c t="s" s="231" r="D5">
        <v>411</v>
      </c>
      <c s="438" r="E5">
        <f>G112</f>
        <v>1751.47668240239</v>
      </c>
      <c s="438" r="F5">
        <f>H112</f>
        <v>1818.93323898064</v>
      </c>
      <c s="178" r="G5">
        <f>I112</f>
        <v>1904.48446335045</v>
      </c>
      <c s="11" r="H5">
        <f>SUM(E5:G5)</f>
        <v>5474.89438473347</v>
      </c>
      <c s="27" r="I5"/>
      <c s="132" r="J5"/>
      <c s="54" r="K5"/>
      <c s="54" r="L5"/>
      <c s="54" r="M5"/>
      <c s="54" r="N5"/>
      <c s="54" r="O5"/>
      <c s="54" r="P5"/>
      <c s="54" r="Q5"/>
      <c s="54" r="R5"/>
      <c s="54" r="S5"/>
      <c s="54" r="T5"/>
      <c s="54" r="U5"/>
      <c s="54" r="V5"/>
      <c s="54" r="W5"/>
      <c s="54" r="X5"/>
      <c s="54" r="Y5"/>
      <c s="54" r="Z5"/>
      <c s="54" r="AA5"/>
      <c s="54" r="AB5"/>
      <c s="54" r="AC5"/>
      <c s="54" r="AD5"/>
      <c s="54" r="AE5"/>
      <c s="54" r="AF5"/>
      <c s="54" r="AG5"/>
      <c s="54" r="AH5"/>
    </row>
    <row customHeight="1" r="6" ht="21.0">
      <c t="s" s="275" r="A6">
        <v>412</v>
      </c>
      <c s="357" r="B6"/>
      <c s="356" r="C6"/>
      <c t="s" s="49" r="D6">
        <v>413</v>
      </c>
      <c s="416" r="E6">
        <f>SUM(E3:E5)</f>
        <v>125613.815412012</v>
      </c>
      <c s="416" r="F6">
        <f>SUM(F3:F5)</f>
        <v>125951.098194903</v>
      </c>
      <c s="245" r="G6">
        <f>SUM(G3:G5)</f>
        <v>126378.854316752</v>
      </c>
      <c s="153" r="H6">
        <f>SUM(E6:G6)</f>
        <v>377943.767923667</v>
      </c>
      <c s="27" r="I6"/>
      <c s="132" r="J6"/>
      <c s="54" r="K6"/>
      <c s="54" r="L6"/>
      <c s="54" r="M6"/>
      <c s="54" r="N6"/>
      <c s="54" r="O6"/>
      <c s="54" r="P6"/>
      <c s="54" r="Q6"/>
      <c s="54" r="R6"/>
      <c s="54" r="S6"/>
      <c s="54" r="T6"/>
      <c s="54" r="U6"/>
      <c s="54" r="V6"/>
      <c s="54" r="W6"/>
      <c s="54" r="X6"/>
      <c s="54" r="Y6"/>
      <c s="54" r="Z6"/>
      <c s="54" r="AA6"/>
      <c s="54" r="AB6"/>
      <c s="54" r="AC6"/>
      <c s="54" r="AD6"/>
      <c s="54" r="AE6"/>
      <c s="54" r="AF6"/>
      <c s="54" r="AG6"/>
      <c s="54" r="AH6"/>
    </row>
    <row r="7">
      <c t="s" s="370" r="A7">
        <v>414</v>
      </c>
      <c s="357" r="B7"/>
      <c s="356" r="C7"/>
      <c t="s" s="216" r="D7">
        <v>415</v>
      </c>
      <c s="46" r="E7">
        <f>G119</f>
        <v>15073.6578494414</v>
      </c>
      <c s="46" r="F7">
        <f>H119</f>
        <v>15114.1317833884</v>
      </c>
      <c s="420" r="G7">
        <f>I119</f>
        <v>15165.4625180103</v>
      </c>
      <c s="112" r="H7">
        <f>SUM(E7:G7)</f>
        <v>45353.2521508401</v>
      </c>
      <c s="27" r="I7"/>
      <c s="132" r="J7"/>
      <c s="54" r="K7"/>
      <c s="54" r="L7"/>
      <c s="54" r="M7"/>
      <c s="54" r="N7"/>
      <c s="54" r="O7"/>
      <c s="54" r="P7"/>
      <c s="54" r="Q7"/>
      <c s="54" r="R7"/>
      <c s="54" r="S7"/>
      <c s="54" r="T7"/>
      <c s="54" r="U7"/>
      <c s="54" r="V7"/>
      <c s="54" r="W7"/>
      <c s="54" r="X7"/>
      <c s="54" r="Y7"/>
      <c s="54" r="Z7"/>
      <c s="54" r="AA7"/>
      <c s="54" r="AB7"/>
      <c s="54" r="AC7"/>
      <c s="54" r="AD7"/>
      <c s="54" r="AE7"/>
      <c s="54" r="AF7"/>
      <c s="54" r="AG7"/>
      <c s="54" r="AH7"/>
    </row>
    <row customHeight="1" r="8" ht="21.0">
      <c t="s" s="275" r="A8">
        <v>416</v>
      </c>
      <c s="357" r="B8"/>
      <c s="356" r="C8"/>
      <c t="s" s="216" r="D8">
        <v>417</v>
      </c>
      <c s="46" r="E8">
        <f>G121</f>
        <v>140687.473261453</v>
      </c>
      <c s="46" r="F8">
        <f>H121</f>
        <v>141065.229978292</v>
      </c>
      <c s="420" r="G8">
        <f>I121</f>
        <v>141544.316834763</v>
      </c>
      <c s="112" r="H8">
        <f>SUM(E8:G8)</f>
        <v>423297.020074508</v>
      </c>
      <c s="27" r="I8"/>
      <c s="132" r="J8"/>
      <c s="54" r="K8"/>
      <c s="54" r="L8"/>
      <c s="54" r="M8"/>
      <c s="54" r="N8"/>
      <c s="54" r="O8"/>
      <c s="54" r="P8"/>
      <c s="54" r="Q8"/>
      <c s="54" r="R8"/>
      <c s="54" r="S8"/>
      <c s="54" r="T8"/>
      <c s="54" r="U8"/>
      <c s="54" r="V8"/>
      <c s="54" r="W8"/>
      <c s="54" r="X8"/>
      <c s="54" r="Y8"/>
      <c s="54" r="Z8"/>
      <c s="54" r="AA8"/>
      <c s="54" r="AB8"/>
      <c s="54" r="AC8"/>
      <c s="54" r="AD8"/>
      <c s="54" r="AE8"/>
      <c s="54" r="AF8"/>
      <c s="54" r="AG8"/>
      <c s="54" r="AH8"/>
    </row>
    <row customHeight="1" s="351" customFormat="1" r="9" ht="21.0">
      <c t="s" s="374" r="A9">
        <v>418</v>
      </c>
      <c s="374" r="B9"/>
      <c s="393" r="C9"/>
      <c s="231" r="D9"/>
      <c s="438" r="E9"/>
      <c s="204" r="F9"/>
      <c s="364" r="G9"/>
      <c s="18" r="H9"/>
      <c s="27" r="I9"/>
      <c s="132" r="J9"/>
      <c s="54" r="K9"/>
      <c s="54" r="L9"/>
      <c s="54" r="M9"/>
      <c s="54" r="N9"/>
      <c s="54" r="O9"/>
      <c s="54" r="P9"/>
      <c s="54" r="Q9"/>
      <c s="54" r="R9"/>
      <c s="54" r="S9"/>
      <c s="54" r="T9"/>
      <c s="54" r="U9"/>
      <c s="54" r="V9"/>
      <c s="54" r="W9"/>
      <c s="54" r="X9"/>
      <c s="54" r="Y9"/>
      <c s="54" r="Z9"/>
      <c s="54" r="AA9"/>
      <c s="54" r="AB9"/>
      <c s="54" r="AC9"/>
      <c s="54" r="AD9"/>
      <c s="54" r="AE9"/>
      <c s="54" r="AF9"/>
      <c s="54" r="AG9"/>
      <c s="54" r="AH9"/>
    </row>
    <row s="351" customFormat="1" r="10">
      <c s="54" r="A10"/>
      <c s="54" r="B10"/>
      <c s="54" r="C10"/>
      <c s="68" r="D10"/>
      <c s="212" r="E10"/>
      <c s="301" r="F10"/>
      <c s="301" r="G10"/>
      <c s="423" r="H10"/>
      <c s="356" r="I10"/>
      <c s="132" r="J10"/>
      <c s="54" r="K10"/>
      <c s="54" r="L10"/>
      <c s="54" r="M10"/>
      <c s="54" r="N10"/>
      <c s="54" r="O10"/>
      <c s="54" r="P10"/>
      <c s="54" r="Q10"/>
      <c s="54" r="R10"/>
      <c s="54" r="S10"/>
      <c s="54" r="T10"/>
      <c s="54" r="U10"/>
      <c s="54" r="V10"/>
      <c s="54" r="W10"/>
      <c s="54" r="X10"/>
      <c s="54" r="Y10"/>
      <c s="54" r="Z10"/>
      <c s="54" r="AA10"/>
      <c s="54" r="AB10"/>
      <c s="54" r="AC10"/>
      <c s="54" r="AD10"/>
      <c s="54" r="AE10"/>
      <c s="54" r="AF10"/>
      <c s="54" r="AG10"/>
      <c s="54" r="AH10"/>
    </row>
    <row r="11">
      <c s="77" r="A11"/>
      <c s="357" r="B11"/>
      <c s="54" r="C11"/>
      <c s="54" r="D11"/>
      <c s="54" r="E11"/>
      <c s="54" r="F11"/>
      <c s="54" r="G11"/>
      <c s="54" r="H11"/>
      <c s="54" r="I11"/>
      <c s="54" r="J11"/>
      <c s="54" r="K11"/>
      <c s="54" r="L11"/>
      <c s="54" r="M11"/>
      <c s="54" r="N11"/>
      <c s="54" r="O11"/>
      <c s="54" r="P11"/>
      <c s="54" r="Q11"/>
      <c s="54" r="R11"/>
      <c s="54" r="S11"/>
      <c s="54" r="T11"/>
      <c s="54" r="U11"/>
      <c s="54" r="V11"/>
      <c s="54" r="W11"/>
      <c s="54" r="X11"/>
      <c s="54" r="Y11"/>
      <c s="54" r="Z11"/>
      <c s="54" r="AA11"/>
      <c s="54" r="AB11"/>
      <c s="54" r="AC11"/>
      <c s="54" r="AD11"/>
      <c s="54" r="AE11"/>
      <c s="54" r="AF11"/>
      <c s="54" r="AG11"/>
      <c s="54" r="AH11"/>
    </row>
    <row r="12">
      <c s="58" r="A12"/>
      <c s="159" r="B12"/>
      <c s="375" r="C12"/>
      <c s="375" r="D12"/>
      <c s="375" r="E12"/>
      <c s="375" r="F12"/>
      <c s="375" r="G12"/>
      <c s="375" r="H12"/>
      <c s="375" r="I12"/>
      <c s="54" r="J12"/>
      <c s="54" r="K12"/>
      <c s="54" r="L12"/>
      <c s="54" r="M12"/>
      <c s="54" r="N12"/>
      <c s="54" r="O12"/>
      <c s="54" r="P12"/>
      <c s="54" r="Q12"/>
      <c s="54" r="R12"/>
      <c s="54" r="S12"/>
      <c s="54" r="T12"/>
      <c s="54" r="U12"/>
      <c s="54" r="V12"/>
      <c s="54" r="W12"/>
      <c s="54" r="X12"/>
      <c s="54" r="Y12"/>
      <c s="54" r="Z12"/>
      <c s="54" r="AA12"/>
      <c s="54" r="AB12"/>
      <c s="54" r="AC12"/>
      <c s="54" r="AD12"/>
      <c s="54" r="AE12"/>
      <c s="54" r="AF12"/>
      <c s="54" r="AG12"/>
      <c s="54" r="AH12"/>
    </row>
    <row customHeight="1" r="13" ht="22.5">
      <c t="s" s="419" r="A13">
        <v>419</v>
      </c>
      <c s="23" r="B13"/>
      <c s="277" r="C13"/>
      <c s="277" r="D13"/>
      <c s="277" r="E13"/>
      <c s="277" r="F13"/>
      <c s="277" r="G13"/>
      <c s="277" r="H13"/>
      <c s="258" r="I13"/>
      <c s="396" r="J13"/>
      <c s="410" r="K13"/>
      <c s="410" r="L13"/>
      <c s="410" r="M13"/>
      <c s="351" r="N13"/>
      <c s="54" r="O13"/>
      <c s="54" r="P13"/>
      <c s="54" r="Q13"/>
      <c s="54" r="R13"/>
      <c s="54" r="S13"/>
      <c s="54" r="T13"/>
      <c s="54" r="U13"/>
      <c s="54" r="V13"/>
      <c s="54" r="W13"/>
      <c s="54" r="X13"/>
      <c s="54" r="Y13"/>
      <c s="54" r="Z13"/>
      <c s="54" r="AA13"/>
      <c s="54" r="AB13"/>
      <c s="54" r="AC13"/>
      <c s="54" r="AD13"/>
      <c s="54" r="AE13"/>
      <c s="54" r="AF13"/>
      <c s="54" r="AG13"/>
      <c s="54" r="AH13"/>
    </row>
    <row r="14">
      <c s="79" r="A14"/>
      <c s="12" r="B14"/>
      <c s="68" r="C14"/>
      <c s="68" r="D14"/>
      <c s="68" r="E14"/>
      <c s="68" r="F14"/>
      <c s="68" r="G14"/>
      <c s="68" r="H14"/>
      <c s="68" r="I14"/>
      <c s="54" r="J14"/>
      <c s="54" r="K14"/>
      <c s="54" r="L14"/>
      <c s="54" r="M14"/>
      <c s="54" r="N14"/>
      <c s="54" r="O14"/>
      <c s="54" r="P14"/>
      <c s="54" r="Q14"/>
      <c s="54" r="R14"/>
      <c s="54" r="S14"/>
      <c s="54" r="T14"/>
      <c s="54" r="U14"/>
      <c s="54" r="V14"/>
      <c s="54" r="W14"/>
      <c s="54" r="X14"/>
      <c s="54" r="Y14"/>
      <c s="54" r="Z14"/>
      <c s="54" r="AA14"/>
      <c s="54" r="AB14"/>
      <c s="54" r="AC14"/>
      <c s="54" r="AD14"/>
      <c s="54" r="AE14"/>
      <c s="54" r="AF14"/>
      <c s="54" r="AG14"/>
      <c s="54" r="AH14"/>
    </row>
    <row r="15">
      <c s="136" r="A15"/>
      <c s="159" r="B15"/>
      <c s="375" r="C15"/>
      <c s="375" r="D15"/>
      <c s="375" r="E15"/>
      <c s="375" r="F15"/>
      <c s="375" r="G15"/>
      <c s="375" r="H15"/>
      <c s="375" r="I15"/>
      <c s="54" r="J15"/>
      <c s="54" r="K15"/>
      <c s="54" r="L15"/>
      <c s="54" r="M15"/>
      <c s="54" r="N15"/>
      <c s="54" r="O15"/>
      <c s="54" r="P15"/>
      <c s="54" r="Q15"/>
      <c s="54" r="R15"/>
      <c s="54" r="S15"/>
      <c s="54" r="T15"/>
      <c s="54" r="U15"/>
      <c s="54" r="V15"/>
      <c s="54" r="W15"/>
      <c s="54" r="X15"/>
      <c s="54" r="Y15"/>
      <c s="54" r="Z15"/>
      <c s="54" r="AA15"/>
      <c s="54" r="AB15"/>
      <c s="54" r="AC15"/>
      <c s="54" r="AD15"/>
      <c s="54" r="AE15"/>
      <c s="54" r="AF15"/>
      <c s="54" r="AG15"/>
      <c s="54" r="AH15"/>
    </row>
    <row customHeight="1" r="16" ht="22.5">
      <c t="s" s="274" r="A16">
        <v>234</v>
      </c>
      <c s="164" r="B16"/>
      <c s="379" r="C16"/>
      <c s="379" r="D16"/>
      <c s="379" r="E16"/>
      <c s="379" r="F16"/>
      <c s="379" r="G16"/>
      <c s="379" r="H16"/>
      <c s="251" r="I16"/>
      <c s="132" r="J16"/>
      <c s="54" r="K16"/>
      <c s="54" r="L16"/>
      <c s="54" r="M16"/>
      <c s="54" r="N16"/>
      <c s="54" r="O16"/>
      <c s="54" r="P16"/>
      <c s="54" r="Q16"/>
      <c s="54" r="R16"/>
      <c s="54" r="S16"/>
      <c s="54" r="T16"/>
      <c s="54" r="U16"/>
      <c s="54" r="V16"/>
      <c s="54" r="W16"/>
      <c s="54" r="X16"/>
      <c s="54" r="Y16"/>
      <c s="54" r="Z16"/>
      <c s="54" r="AA16"/>
      <c s="54" r="AB16"/>
      <c s="54" r="AC16"/>
      <c s="54" r="AD16"/>
      <c s="54" r="AE16"/>
      <c s="54" r="AF16"/>
      <c s="54" r="AG16"/>
      <c s="54" r="AH16"/>
    </row>
    <row customHeight="1" r="17" ht="16.5">
      <c s="100" r="A17"/>
      <c s="163" r="B17"/>
      <c s="254" r="C17"/>
      <c s="254" r="D17"/>
      <c s="254" r="E17"/>
      <c s="254" r="F17"/>
      <c s="254" r="G17"/>
      <c s="254" r="H17"/>
      <c s="284" r="I17"/>
      <c s="134" r="J17"/>
      <c s="54" r="K17"/>
      <c s="54" r="L17"/>
      <c s="54" r="M17"/>
      <c s="54" r="N17"/>
      <c s="54" r="O17"/>
      <c s="54" r="P17"/>
      <c s="54" r="Q17"/>
      <c s="54" r="R17"/>
      <c s="54" r="S17"/>
      <c s="54" r="T17"/>
      <c s="54" r="U17"/>
      <c s="54" r="V17"/>
      <c s="54" r="W17"/>
      <c s="54" r="X17"/>
      <c s="54" r="Y17"/>
      <c s="54" r="Z17"/>
      <c s="54" r="AA17"/>
      <c s="54" r="AB17"/>
      <c s="54" r="AC17"/>
      <c s="54" r="AD17"/>
      <c s="54" r="AE17"/>
      <c s="54" r="AF17"/>
      <c s="54" r="AG17"/>
      <c s="54" r="AH17"/>
    </row>
    <row customHeight="1" r="18" ht="21.0">
      <c t="s" s="124" r="A18">
        <v>420</v>
      </c>
      <c s="323" r="B18"/>
      <c s="373" r="C18"/>
      <c s="373" r="D18"/>
      <c s="373" r="E18"/>
      <c s="373" r="F18"/>
      <c s="373" r="G18"/>
      <c s="373" r="H18"/>
      <c s="372" r="I18"/>
      <c t="s" s="13" r="J18">
        <v>421</v>
      </c>
      <c t="s" s="351" r="K18">
        <v>422</v>
      </c>
      <c t="s" s="351" r="L18">
        <v>423</v>
      </c>
      <c t="s" s="351" r="M18">
        <v>424</v>
      </c>
      <c s="54" r="N18"/>
      <c s="54" r="O18"/>
      <c s="54" r="P18"/>
      <c s="54" r="Q18"/>
      <c s="54" r="R18"/>
      <c s="54" r="S18"/>
      <c s="54" r="T18"/>
      <c s="54" r="U18"/>
      <c s="54" r="V18"/>
      <c s="54" r="W18"/>
      <c s="54" r="X18"/>
      <c s="54" r="Y18"/>
      <c s="54" r="Z18"/>
      <c s="54" r="AA18"/>
      <c s="54" r="AB18"/>
      <c s="54" r="AC18"/>
      <c s="54" r="AD18"/>
      <c s="54" r="AE18"/>
      <c s="54" r="AF18"/>
      <c s="54" r="AG18"/>
      <c s="54" r="AH18"/>
    </row>
    <row customHeight="1" r="19" ht="18.0">
      <c t="s" s="154" r="A19">
        <v>425</v>
      </c>
      <c s="139" r="B19"/>
      <c s="139" r="C19"/>
      <c s="201" r="D19">
        <v>2000</v>
      </c>
      <c t="s" s="94" r="E19">
        <v>426</v>
      </c>
      <c s="351" r="F19"/>
      <c s="351" r="G19"/>
      <c s="351" r="H19"/>
      <c s="436" r="I19"/>
      <c t="str" s="286" r="J19">
        <f>IF((D19&gt;=1000),TEXT(D19,"0,000"),TEXT(D19,"000"))</f>
        <v>2,000</v>
      </c>
      <c s="281" r="K19"/>
      <c s="375" r="L19"/>
      <c s="375" r="M19"/>
      <c s="54" r="N19"/>
      <c s="54" r="O19"/>
      <c s="54" r="P19"/>
      <c s="54" r="Q19"/>
      <c s="54" r="R19"/>
      <c s="54" r="S19"/>
      <c s="54" r="T19"/>
      <c s="54" r="U19"/>
      <c s="54" r="V19"/>
      <c s="54" r="W19"/>
      <c s="54" r="X19"/>
      <c s="54" r="Y19"/>
      <c s="54" r="Z19"/>
      <c s="54" r="AA19"/>
      <c s="54" r="AB19"/>
      <c s="54" r="AC19"/>
      <c s="54" r="AD19"/>
      <c s="54" r="AE19"/>
      <c s="54" r="AF19"/>
      <c s="54" r="AG19"/>
      <c s="54" r="AH19"/>
    </row>
    <row customHeight="1" r="20" ht="18.0">
      <c t="s" s="154" r="A20">
        <v>427</v>
      </c>
      <c s="139" r="B20"/>
      <c s="139" r="C20"/>
      <c t="s" s="85" r="D20">
        <v>327</v>
      </c>
      <c t="s" s="109" r="E20">
        <v>428</v>
      </c>
      <c s="109" r="F20"/>
      <c s="109" r="G20"/>
      <c s="109" r="H20"/>
      <c s="363" r="I20"/>
      <c t="str" s="286" r="J20">
        <f>IF((D20="No Growth"),"2) No anticipated need for storage growth over the next 12-36 months","")</f>
        <v>2) No anticipated need for storage growth over the next 12-36 months</v>
      </c>
      <c t="str" s="331" r="K20">
        <f>IF(($D20="Linear Growth"),CONCATENATE("2) Linear growth starting at ",J19, " GB and growing to ",J23," GB over ",$D22," months"),"")</f>
        <v/>
      </c>
      <c t="str" s="331" r="L20">
        <f>IF(($D20="Non-Linear Growth"),CONCATENATE("2) Non-linear growth starting at ",J19, " GB and growing ",J24," per month over ",$D22," months"),"")</f>
        <v/>
      </c>
      <c t="str" s="331" r="M20">
        <f>CONCATENATE(J20,K20,L20)</f>
        <v>2) No anticipated need for storage growth over the next 12-36 months</v>
      </c>
      <c s="132" r="N20"/>
      <c s="54" r="O20"/>
      <c s="54" r="P20"/>
      <c s="54" r="Q20"/>
      <c s="54" r="R20"/>
      <c s="54" r="S20"/>
      <c s="54" r="T20"/>
      <c s="54" r="U20"/>
      <c s="54" r="V20"/>
      <c s="54" r="W20"/>
      <c s="54" r="X20"/>
      <c s="54" r="Y20"/>
      <c s="54" r="Z20"/>
      <c s="54" r="AA20"/>
      <c s="54" r="AB20"/>
      <c s="54" r="AC20"/>
      <c s="54" r="AD20"/>
      <c s="54" r="AE20"/>
      <c s="54" r="AF20"/>
      <c s="54" r="AG20"/>
      <c s="54" r="AH20"/>
    </row>
    <row customHeight="1" r="21" ht="18.0">
      <c s="154" r="A21"/>
      <c s="139" r="B21"/>
      <c s="139" r="C21"/>
      <c s="139" r="D21"/>
      <c s="109" r="E21"/>
      <c s="109" r="F21"/>
      <c s="109" r="G21"/>
      <c s="109" r="H21"/>
      <c s="363" r="I21"/>
      <c s="217" r="J21"/>
      <c s="45" r="K21"/>
      <c s="45" r="L21"/>
      <c s="45" r="M21"/>
      <c s="54" r="N21"/>
      <c s="54" r="O21"/>
      <c s="54" r="P21"/>
      <c s="54" r="Q21"/>
      <c s="54" r="R21"/>
      <c s="54" r="S21"/>
      <c s="54" r="T21"/>
      <c s="54" r="U21"/>
      <c s="54" r="V21"/>
      <c s="54" r="W21"/>
      <c s="54" r="X21"/>
      <c s="54" r="Y21"/>
      <c s="54" r="Z21"/>
      <c s="54" r="AA21"/>
      <c s="54" r="AB21"/>
      <c s="54" r="AC21"/>
      <c s="54" r="AD21"/>
      <c s="54" r="AE21"/>
      <c s="54" r="AF21"/>
      <c s="54" r="AG21"/>
      <c s="54" r="AH21"/>
    </row>
    <row customHeight="1" r="22" ht="18.0">
      <c t="s" s="154" r="A22">
        <v>429</v>
      </c>
      <c s="139" r="B22"/>
      <c s="139" r="C22"/>
      <c s="85" r="D22">
        <v>36</v>
      </c>
      <c t="str" s="94" r="E22">
        <f>IF((D20="Linear Growth"),"Enter # Months: 12 or 36",IF((D20="Non-Linear Growth"),"Enter # Months: 12 or 36",""))</f>
        <v/>
      </c>
      <c s="351" r="F22"/>
      <c s="351" r="G22"/>
      <c s="351" r="H22"/>
      <c s="436" r="I22"/>
      <c s="342" r="J22"/>
      <c s="54" r="K22"/>
      <c s="54" r="L22"/>
      <c s="54" r="M22"/>
      <c s="54" r="N22"/>
      <c s="54" r="O22"/>
      <c s="54" r="P22"/>
      <c s="54" r="Q22"/>
      <c s="54" r="R22"/>
      <c s="54" r="S22"/>
      <c s="54" r="T22"/>
      <c s="54" r="U22"/>
      <c s="54" r="V22"/>
      <c s="54" r="W22"/>
      <c s="54" r="X22"/>
      <c s="54" r="Y22"/>
      <c s="54" r="Z22"/>
      <c s="54" r="AA22"/>
      <c s="54" r="AB22"/>
      <c s="54" r="AC22"/>
      <c s="54" r="AD22"/>
      <c s="54" r="AE22"/>
      <c s="54" r="AF22"/>
      <c s="54" r="AG22"/>
      <c s="54" r="AH22"/>
    </row>
    <row customHeight="1" r="23" ht="18.0">
      <c t="str" s="154" r="A23">
        <f>CONCATENATE("For 'linear growth', how much storage capacity will the app need ", term_months, " months from now")</f>
        <v>For 'linear growth', how much storage capacity will the app need 36 months from now</v>
      </c>
      <c s="139" r="B23"/>
      <c s="139" r="C23"/>
      <c s="201" r="D23">
        <v>5000</v>
      </c>
      <c t="str" s="94" r="E23">
        <f>IF((D20="Linear Growth"),"Enter ending capacity - GB","")</f>
        <v/>
      </c>
      <c s="351" r="F23"/>
      <c s="351" r="G23"/>
      <c s="351" r="H23"/>
      <c s="436" r="I23"/>
      <c t="str" s="286" r="J23">
        <f>IF((D23&gt;=1000),TEXT(D23,"0,000"),TEXT(D23,"000"))</f>
        <v>5,000</v>
      </c>
      <c s="132" r="K23"/>
      <c s="54" r="L23"/>
      <c s="54" r="M23"/>
      <c s="54" r="N23"/>
      <c s="54" r="O23"/>
      <c s="54" r="P23"/>
      <c s="54" r="Q23"/>
      <c s="54" r="R23"/>
      <c s="54" r="S23"/>
      <c s="54" r="T23"/>
      <c s="54" r="U23"/>
      <c s="54" r="V23"/>
      <c s="54" r="W23"/>
      <c s="54" r="X23"/>
      <c s="54" r="Y23"/>
      <c s="54" r="Z23"/>
      <c s="54" r="AA23"/>
      <c s="54" r="AB23"/>
      <c s="54" r="AC23"/>
      <c s="54" r="AD23"/>
      <c s="54" r="AE23"/>
      <c s="54" r="AF23"/>
      <c s="54" r="AG23"/>
      <c s="54" r="AH23"/>
    </row>
    <row customHeight="1" r="24" ht="18.0">
      <c t="str" s="154" r="A24">
        <f>CONCATENATE("For 'Non-Linear Growth', how will the storage capacity grow month-over-month (percent)")</f>
        <v>For 'Non-Linear Growth', how will the storage capacity grow month-over-month (percent)</v>
      </c>
      <c s="139" r="B24"/>
      <c s="412" r="C24">
        <f>storage_exponential_growth</f>
        <v>0.01</v>
      </c>
      <c s="53" r="D24">
        <v>0.01</v>
      </c>
      <c t="str" s="94" r="E24">
        <f>IF((D20="Non-Linear Growth"),"Enter Storage percent growth every month","")</f>
        <v/>
      </c>
      <c s="351" r="F24"/>
      <c s="351" r="G24"/>
      <c s="351" r="H24"/>
      <c s="436" r="I24"/>
      <c t="str" s="286" r="J24">
        <f>TEXT(D24,"0%")</f>
        <v>1%</v>
      </c>
      <c s="132" r="K24"/>
      <c s="54" r="L24"/>
      <c s="54" r="M24"/>
      <c s="54" r="N24"/>
      <c s="54" r="O24"/>
      <c s="54" r="P24"/>
      <c s="54" r="Q24"/>
      <c s="54" r="R24"/>
      <c s="54" r="S24"/>
      <c s="54" r="T24"/>
      <c s="54" r="U24"/>
      <c s="54" r="V24"/>
      <c s="54" r="W24"/>
      <c s="54" r="X24"/>
      <c s="54" r="Y24"/>
      <c s="54" r="Z24"/>
      <c s="54" r="AA24"/>
      <c s="54" r="AB24"/>
      <c s="54" r="AC24"/>
      <c s="54" r="AD24"/>
      <c s="54" r="AE24"/>
      <c s="54" r="AF24"/>
      <c s="54" r="AG24"/>
      <c s="54" r="AH24"/>
    </row>
    <row customHeight="1" r="25" ht="18.0">
      <c s="210" r="A25"/>
      <c s="367" r="B25"/>
      <c s="367" r="C25"/>
      <c s="386" r="D25"/>
      <c s="114" r="E25"/>
      <c s="16" r="F25"/>
      <c s="16" r="G25"/>
      <c s="16" r="H25"/>
      <c s="341" r="I25"/>
      <c s="434" r="J25"/>
      <c s="54" r="K25"/>
      <c s="54" r="L25"/>
      <c s="54" r="M25"/>
      <c s="54" r="N25"/>
      <c s="54" r="O25"/>
      <c s="54" r="P25"/>
      <c s="54" r="Q25"/>
      <c s="54" r="R25"/>
      <c s="54" r="S25"/>
      <c s="54" r="T25"/>
      <c s="54" r="U25"/>
      <c s="54" r="V25"/>
      <c s="54" r="W25"/>
      <c s="54" r="X25"/>
      <c s="54" r="Y25"/>
      <c s="54" r="Z25"/>
      <c s="54" r="AA25"/>
      <c s="54" r="AB25"/>
      <c s="54" r="AC25"/>
      <c s="54" r="AD25"/>
      <c s="54" r="AE25"/>
      <c s="54" r="AF25"/>
      <c s="54" r="AG25"/>
      <c s="54" r="AH25"/>
    </row>
    <row customHeight="1" r="26" ht="21.0">
      <c t="s" s="124" r="A26">
        <v>430</v>
      </c>
      <c s="228" r="B26"/>
      <c s="228" r="C26"/>
      <c s="278" r="D26"/>
      <c s="19" r="E26"/>
      <c s="373" r="F26"/>
      <c s="373" r="G26"/>
      <c s="373" r="H26"/>
      <c s="372" r="I26"/>
      <c s="342" r="J26"/>
      <c s="54" r="K26"/>
      <c s="54" r="L26"/>
      <c s="54" r="M26"/>
      <c s="54" r="N26"/>
      <c s="54" r="O26"/>
      <c s="54" r="P26"/>
      <c s="54" r="Q26"/>
      <c s="54" r="R26"/>
      <c s="54" r="S26"/>
      <c s="54" r="T26"/>
      <c s="54" r="U26"/>
      <c s="54" r="V26"/>
      <c s="54" r="W26"/>
      <c s="54" r="X26"/>
      <c s="54" r="Y26"/>
      <c s="54" r="Z26"/>
      <c s="54" r="AA26"/>
      <c s="54" r="AB26"/>
      <c s="54" r="AC26"/>
      <c s="54" r="AD26"/>
      <c s="54" r="AE26"/>
      <c s="54" r="AF26"/>
      <c s="54" r="AG26"/>
      <c s="54" r="AH26"/>
    </row>
    <row customHeight="1" r="27" ht="18.0">
      <c t="s" s="154" r="A27">
        <v>431</v>
      </c>
      <c s="139" r="B27"/>
      <c s="139" r="C27"/>
      <c s="201" r="D27">
        <v>1000</v>
      </c>
      <c t="s" s="94" r="E27">
        <v>241</v>
      </c>
      <c s="351" r="F27"/>
      <c s="351" r="G27"/>
      <c s="351" r="H27"/>
      <c s="436" r="I27"/>
      <c t="str" s="286" r="J27">
        <f>IF((D27&gt;=1000),TEXT(D27,"0,000"),TEXT(D27,"000"))</f>
        <v>1,000</v>
      </c>
      <c s="281" r="K27"/>
      <c s="375" r="L27"/>
      <c s="375" r="M27"/>
      <c s="54" r="N27"/>
      <c s="54" r="O27"/>
      <c s="54" r="P27"/>
      <c s="54" r="Q27"/>
      <c s="54" r="R27"/>
      <c s="54" r="S27"/>
      <c s="54" r="T27"/>
      <c s="54" r="U27"/>
      <c s="54" r="V27"/>
      <c s="54" r="W27"/>
      <c s="54" r="X27"/>
      <c s="54" r="Y27"/>
      <c s="54" r="Z27"/>
      <c s="54" r="AA27"/>
      <c s="54" r="AB27"/>
      <c s="54" r="AC27"/>
      <c s="54" r="AD27"/>
      <c s="54" r="AE27"/>
      <c s="54" r="AF27"/>
      <c s="54" r="AG27"/>
      <c s="54" r="AH27"/>
    </row>
    <row customHeight="1" r="28" ht="18.0">
      <c t="s" s="154" r="A28">
        <v>432</v>
      </c>
      <c s="139" r="B28"/>
      <c s="139" r="C28"/>
      <c t="s" s="85" r="D28">
        <v>328</v>
      </c>
      <c t="s" s="94" r="E28">
        <v>433</v>
      </c>
      <c s="351" r="F28"/>
      <c s="351" r="G28"/>
      <c s="351" r="H28"/>
      <c s="436" r="I28"/>
      <c t="str" s="286" r="J28">
        <f>IF((D28="No Growth"),"No anticipated need for IOPS growth over the next 12-36 months","")</f>
        <v/>
      </c>
      <c t="str" s="331" r="K28">
        <f>IF(($D28="Linear Growth"),CONCATENATE("The need for linear IOPS growth starting at ",J27, " IOPS and growing to ",J29," IOPS over ",$D22," months"),"")</f>
        <v/>
      </c>
      <c t="str" s="331" r="L28">
        <f>IF(($D28="Non-Linear Growth"),CONCATENATE("The need for non-linear IOPS growth starting at ",J27, " IOPS and growing ",J30," per month over ",$D22," months"),"")</f>
        <v>The need for non-linear IOPS growth starting at 1,000 IOPS and growing 2% per month over 36 months</v>
      </c>
      <c t="str" s="331" r="M28">
        <f>CONCATENATE(J28,K28,L28)</f>
        <v>The need for non-linear IOPS growth starting at 1,000 IOPS and growing 2% per month over 36 months</v>
      </c>
      <c s="132" r="N28"/>
      <c s="54" r="O28"/>
      <c s="54" r="P28"/>
      <c s="54" r="Q28"/>
      <c s="54" r="R28"/>
      <c s="54" r="S28"/>
      <c s="54" r="T28"/>
      <c s="54" r="U28"/>
      <c s="54" r="V28"/>
      <c s="54" r="W28"/>
      <c s="54" r="X28"/>
      <c s="54" r="Y28"/>
      <c s="54" r="Z28"/>
      <c s="54" r="AA28"/>
      <c s="54" r="AB28"/>
      <c s="54" r="AC28"/>
      <c s="54" r="AD28"/>
      <c s="54" r="AE28"/>
      <c s="54" r="AF28"/>
      <c s="54" r="AG28"/>
      <c s="54" r="AH28"/>
    </row>
    <row customHeight="1" r="29" ht="18.0">
      <c t="str" s="154" r="A29">
        <f>CONCATENATE("If you chose 'linear growth' how much IOPS will the application need ", term_months, " months from now")</f>
        <v>If you chose 'linear growth' how much IOPS will the application need 36 months from now</v>
      </c>
      <c s="139" r="B29"/>
      <c s="139" r="C29"/>
      <c s="193" r="D29">
        <v>2000</v>
      </c>
      <c t="str" s="94" r="E29">
        <f>IF((D28="Linear Growth"),"Enter ending IOPS","")</f>
        <v/>
      </c>
      <c s="351" r="F29"/>
      <c s="351" r="G29"/>
      <c s="351" r="H29"/>
      <c s="436" r="I29"/>
      <c t="str" s="253" r="J29">
        <f>IF((D29&gt;=1000),TEXT(D29,"0,000"),TEXT(D29,"000"))</f>
        <v>2,000</v>
      </c>
      <c s="68" r="K29"/>
      <c s="68" r="L29"/>
      <c s="68" r="M29"/>
      <c s="54" r="N29"/>
      <c s="54" r="O29"/>
      <c s="54" r="P29"/>
      <c s="54" r="Q29"/>
      <c s="54" r="R29"/>
      <c s="54" r="S29"/>
      <c s="54" r="T29"/>
      <c s="54" r="U29"/>
      <c s="54" r="V29"/>
      <c s="54" r="W29"/>
      <c s="54" r="X29"/>
      <c s="54" r="Y29"/>
      <c s="54" r="Z29"/>
      <c s="54" r="AA29"/>
      <c s="54" r="AB29"/>
      <c s="54" r="AC29"/>
      <c s="54" r="AD29"/>
      <c s="54" r="AE29"/>
      <c s="54" r="AF29"/>
      <c s="54" r="AG29"/>
      <c s="54" r="AH29"/>
    </row>
    <row customHeight="1" r="30" ht="18.0">
      <c t="str" s="154" r="A30">
        <f>CONCATENATE("If you chose 'non-linear growth', how will IOPS grow month-over-month (percent)")</f>
        <v>If you chose 'non-linear growth', how will IOPS grow month-over-month (percent)</v>
      </c>
      <c s="139" r="B30"/>
      <c s="139" r="C30"/>
      <c s="316" r="D30">
        <v>0.02</v>
      </c>
      <c t="str" s="94" r="E30">
        <f>IF((D28="Non-Linear Growth"),"Enter percent IOPS growth every month","")</f>
        <v>Enter percent IOPS growth every month</v>
      </c>
      <c s="351" r="F30"/>
      <c s="351" r="G30"/>
      <c s="351" r="H30"/>
      <c s="436" r="I30"/>
      <c t="str" s="348" r="J30">
        <f>TEXT(D30,"0%")</f>
        <v>2%</v>
      </c>
      <c s="54" r="K30"/>
      <c s="54" r="L30"/>
      <c s="54" r="M30"/>
      <c s="54" r="N30"/>
      <c s="54" r="O30"/>
      <c s="54" r="P30"/>
      <c s="54" r="Q30"/>
      <c s="54" r="R30"/>
      <c s="54" r="S30"/>
      <c s="54" r="T30"/>
      <c s="54" r="U30"/>
      <c s="54" r="V30"/>
      <c s="54" r="W30"/>
      <c s="54" r="X30"/>
      <c s="54" r="Y30"/>
      <c s="54" r="Z30"/>
      <c s="54" r="AA30"/>
      <c s="54" r="AB30"/>
      <c s="54" r="AC30"/>
      <c s="54" r="AD30"/>
      <c s="54" r="AE30"/>
      <c s="54" r="AF30"/>
      <c s="54" r="AG30"/>
      <c s="54" r="AH30"/>
    </row>
    <row customHeight="1" r="31" ht="18.0">
      <c s="210" r="A31"/>
      <c s="367" r="B31"/>
      <c s="367" r="C31"/>
      <c s="405" r="D31"/>
      <c s="114" r="E31"/>
      <c s="16" r="F31"/>
      <c s="16" r="G31"/>
      <c s="16" r="H31"/>
      <c s="341" r="I31"/>
      <c s="340" r="J31"/>
      <c s="54" r="K31"/>
      <c s="54" r="L31"/>
      <c s="54" r="M31"/>
      <c s="54" r="N31"/>
      <c s="54" r="O31"/>
      <c s="54" r="P31"/>
      <c s="54" r="Q31"/>
      <c s="54" r="R31"/>
      <c s="54" r="S31"/>
      <c s="54" r="T31"/>
      <c s="54" r="U31"/>
      <c s="54" r="V31"/>
      <c s="54" r="W31"/>
      <c s="54" r="X31"/>
      <c s="54" r="Y31"/>
      <c s="54" r="Z31"/>
      <c s="54" r="AA31"/>
      <c s="54" r="AB31"/>
      <c s="54" r="AC31"/>
      <c s="54" r="AD31"/>
      <c s="54" r="AE31"/>
      <c s="54" r="AF31"/>
      <c s="54" r="AG31"/>
      <c s="54" r="AH31"/>
    </row>
    <row customHeight="1" r="32" ht="21.0">
      <c t="s" s="124" r="A32">
        <v>434</v>
      </c>
      <c s="228" r="B32"/>
      <c s="228" r="C32"/>
      <c s="155" r="D32"/>
      <c s="19" r="E32"/>
      <c s="373" r="F32"/>
      <c s="373" r="G32"/>
      <c s="373" r="H32"/>
      <c s="372" r="I32"/>
      <c s="340" r="J32"/>
      <c s="54" r="K32"/>
      <c s="54" r="L32"/>
      <c s="54" r="M32"/>
      <c s="54" r="N32"/>
      <c s="54" r="O32"/>
      <c s="54" r="P32"/>
      <c s="54" r="Q32"/>
      <c s="54" r="R32"/>
      <c s="54" r="S32"/>
      <c s="54" r="T32"/>
      <c s="54" r="U32"/>
      <c s="54" r="V32"/>
      <c s="54" r="W32"/>
      <c s="54" r="X32"/>
      <c s="54" r="Y32"/>
      <c s="54" r="Z32"/>
      <c s="54" r="AA32"/>
      <c s="54" r="AB32"/>
      <c s="54" r="AC32"/>
      <c s="54" r="AD32"/>
      <c s="54" r="AE32"/>
      <c s="54" r="AF32"/>
      <c s="54" r="AG32"/>
      <c s="54" r="AH32"/>
    </row>
    <row customHeight="1" r="33" ht="18.0">
      <c t="s" s="154" r="A33">
        <v>435</v>
      </c>
      <c s="139" r="B33"/>
      <c s="139" r="C33"/>
      <c t="s" s="85" r="D33">
        <v>251</v>
      </c>
      <c t="s" s="94" r="E33">
        <v>436</v>
      </c>
      <c s="109" r="F33"/>
      <c s="109" r="G33"/>
      <c s="351" r="H33"/>
      <c s="436" r="I33"/>
      <c t="str" s="348" r="J33">
        <f>IF((D33="TIER 2 Response Time Tier")," Tier 2, Bracket's basic response tier.",IF((RC[-6]="TIER 1 Response Time Tier"),"Tier 1, Bracket's mid level tier response.",IF((D33="TIER 0 Response Time Tier"),"Tier 0, Bracket's fastest tier response.","")))</f>
        <v> Tier 2, Bracket's basic response tier.</v>
      </c>
      <c s="54" r="K33"/>
      <c s="54" r="L33"/>
      <c s="54" r="M33"/>
      <c s="54" r="N33"/>
      <c s="54" r="O33"/>
      <c s="54" r="P33"/>
      <c s="54" r="Q33"/>
      <c s="54" r="R33"/>
      <c s="54" r="S33"/>
      <c s="54" r="T33"/>
      <c s="54" r="U33"/>
      <c s="54" r="V33"/>
      <c s="54" r="W33"/>
      <c s="54" r="X33"/>
      <c s="54" r="Y33"/>
      <c s="54" r="Z33"/>
      <c s="54" r="AA33"/>
      <c s="54" r="AB33"/>
      <c s="54" r="AC33"/>
      <c s="54" r="AD33"/>
      <c s="54" r="AE33"/>
      <c s="54" r="AF33"/>
      <c s="54" r="AG33"/>
      <c s="54" r="AH33"/>
    </row>
    <row customHeight="1" r="34" ht="18.0">
      <c t="s" s="154" r="A34">
        <v>437</v>
      </c>
      <c s="139" r="B34"/>
      <c s="139" r="C34"/>
      <c s="53" r="D34">
        <v>0.5</v>
      </c>
      <c t="s" s="94" r="E34">
        <v>438</v>
      </c>
      <c s="109" r="F34"/>
      <c s="109" r="G34"/>
      <c s="351" r="H34"/>
      <c s="436" r="I34"/>
      <c t="str" s="348" r="J34">
        <f>CONCATENATE("The application will need to be active to access this storage ",TEXT(D34,"0%")," of the time.")</f>
        <v>The application will need to be active to access this storage 50% of the time.</v>
      </c>
      <c s="54" r="K34"/>
      <c s="54" r="L34"/>
      <c s="54" r="M34"/>
      <c s="54" r="N34"/>
      <c s="54" r="O34"/>
      <c s="54" r="P34"/>
      <c s="54" r="Q34"/>
      <c s="54" r="R34"/>
      <c s="54" r="S34"/>
      <c s="54" r="T34"/>
      <c s="54" r="U34"/>
      <c s="54" r="V34"/>
      <c s="54" r="W34"/>
      <c s="54" r="X34"/>
      <c s="54" r="Y34"/>
      <c s="54" r="Z34"/>
      <c s="54" r="AA34"/>
      <c s="54" r="AB34"/>
      <c s="54" r="AC34"/>
      <c s="54" r="AD34"/>
      <c s="54" r="AE34"/>
      <c s="54" r="AF34"/>
      <c s="54" r="AG34"/>
      <c s="54" r="AH34"/>
    </row>
    <row customHeight="1" r="35" ht="18.0">
      <c t="s" s="154" r="A35">
        <v>439</v>
      </c>
      <c s="139" r="B35"/>
      <c s="139" r="C35"/>
      <c s="41" r="D35">
        <v>0.75</v>
      </c>
      <c t="s" s="94" r="E35">
        <v>440</v>
      </c>
      <c s="109" r="F35"/>
      <c s="109" r="G35"/>
      <c s="351" r="H35"/>
      <c s="436" r="I35"/>
      <c t="str" s="348" r="J35">
        <f>CONCATENATE("A ",TEXT(D35,"0%"), " snapshot usage rate.")</f>
        <v>A 75% snapshot usage rate.</v>
      </c>
      <c s="54" r="K35"/>
      <c s="54" r="L35"/>
      <c s="54" r="M35"/>
      <c s="54" r="N35"/>
      <c s="54" r="O35"/>
      <c s="54" r="P35"/>
      <c s="54" r="Q35"/>
      <c s="54" r="R35"/>
      <c s="54" r="S35"/>
      <c s="54" r="T35"/>
      <c s="54" r="U35"/>
      <c s="54" r="V35"/>
      <c s="54" r="W35"/>
      <c s="54" r="X35"/>
      <c s="54" r="Y35"/>
      <c s="54" r="Z35"/>
      <c s="54" r="AA35"/>
      <c s="54" r="AB35"/>
      <c s="54" r="AC35"/>
      <c s="54" r="AD35"/>
      <c s="54" r="AE35"/>
      <c s="54" r="AF35"/>
      <c s="54" r="AG35"/>
      <c s="54" r="AH35"/>
    </row>
    <row customHeight="1" r="36" ht="18.0">
      <c s="210" r="A36"/>
      <c s="367" r="B36"/>
      <c s="367" r="C36"/>
      <c s="386" r="D36"/>
      <c s="392" r="E36"/>
      <c s="392" r="F36"/>
      <c s="392" r="G36"/>
      <c s="16" r="H36"/>
      <c s="341" r="I36"/>
      <c s="340" r="J36"/>
      <c s="54" r="K36"/>
      <c s="54" r="L36"/>
      <c s="54" r="M36"/>
      <c s="54" r="N36"/>
      <c s="54" r="O36"/>
      <c s="54" r="P36"/>
      <c s="54" r="Q36"/>
      <c s="54" r="R36"/>
      <c s="54" r="S36"/>
      <c s="54" r="T36"/>
      <c s="54" r="U36"/>
      <c s="54" r="V36"/>
      <c s="54" r="W36"/>
      <c s="54" r="X36"/>
      <c s="54" r="Y36"/>
      <c s="54" r="Z36"/>
      <c s="54" r="AA36"/>
      <c s="54" r="AB36"/>
      <c s="54" r="AC36"/>
      <c s="54" r="AD36"/>
      <c s="54" r="AE36"/>
      <c s="54" r="AF36"/>
      <c s="54" r="AG36"/>
      <c s="54" r="AH36"/>
    </row>
    <row customHeight="1" r="37" ht="22.5">
      <c t="s" s="74" r="A37">
        <v>149</v>
      </c>
      <c s="158" r="B37"/>
      <c s="14" r="C37"/>
      <c s="104" r="D37"/>
      <c s="103" r="E37"/>
      <c s="103" r="F37"/>
      <c s="125" r="G37"/>
      <c s="269" r="H37"/>
      <c s="131" r="I37"/>
      <c s="132" r="J37"/>
      <c s="54" r="K37"/>
      <c s="54" r="L37"/>
      <c s="54" r="M37"/>
      <c s="54" r="N37"/>
      <c s="54" r="O37"/>
      <c s="54" r="P37"/>
      <c s="54" r="Q37"/>
      <c s="54" r="R37"/>
      <c s="54" r="S37"/>
      <c s="54" r="T37"/>
      <c s="54" r="U37"/>
      <c s="54" r="V37"/>
      <c s="54" r="W37"/>
      <c s="54" r="X37"/>
      <c s="54" r="Y37"/>
      <c s="54" r="Z37"/>
      <c s="54" r="AA37"/>
      <c s="54" r="AB37"/>
      <c s="54" r="AC37"/>
      <c s="54" r="AD37"/>
      <c s="54" r="AE37"/>
      <c s="54" r="AF37"/>
      <c s="54" r="AG37"/>
      <c s="54" r="AH37"/>
    </row>
    <row customHeight="1" r="38" ht="22.5">
      <c s="92" r="A38"/>
      <c t="s" s="333" r="B38">
        <v>441</v>
      </c>
      <c s="383" r="C38"/>
      <c s="110" r="D38"/>
      <c t="s" s="346" r="E38">
        <v>315</v>
      </c>
      <c s="229" r="F38"/>
      <c s="249" r="G38"/>
      <c s="45" r="H38"/>
      <c s="45" r="I38"/>
      <c s="54" r="J38"/>
      <c s="54" r="K38"/>
      <c s="54" r="L38"/>
      <c s="54" r="M38"/>
      <c s="54" r="N38"/>
      <c s="54" r="O38"/>
      <c s="54" r="P38"/>
      <c s="54" r="Q38"/>
      <c s="54" r="R38"/>
      <c s="54" r="S38"/>
      <c s="54" r="T38"/>
      <c s="54" r="U38"/>
      <c s="54" r="V38"/>
      <c s="54" r="W38"/>
      <c s="54" r="X38"/>
      <c s="54" r="Y38"/>
      <c s="54" r="Z38"/>
      <c s="54" r="AA38"/>
      <c s="54" r="AB38"/>
      <c s="54" r="AC38"/>
      <c s="54" r="AD38"/>
      <c s="54" r="AE38"/>
      <c s="54" r="AF38"/>
      <c s="54" r="AG38"/>
      <c s="54" r="AH38"/>
    </row>
    <row customHeight="1" r="39" ht="18.0">
      <c s="293" r="A39"/>
      <c s="139" r="B39"/>
      <c s="139" r="C39"/>
      <c s="304" r="D39"/>
      <c s="54" r="E39"/>
      <c s="109" r="F39"/>
      <c s="109" r="G39"/>
      <c s="351" r="H39"/>
      <c s="127" r="I39"/>
      <c s="134" r="J39"/>
      <c s="54" r="K39"/>
      <c s="54" r="L39"/>
      <c s="54" r="M39"/>
      <c s="54" r="N39"/>
      <c s="54" r="O39"/>
      <c s="54" r="P39"/>
      <c s="54" r="Q39"/>
      <c s="54" r="R39"/>
      <c s="54" r="S39"/>
      <c s="54" r="T39"/>
      <c s="54" r="U39"/>
      <c s="54" r="V39"/>
      <c s="54" r="W39"/>
      <c s="54" r="X39"/>
      <c s="54" r="Y39"/>
      <c s="54" r="Z39"/>
      <c s="54" r="AA39"/>
      <c s="54" r="AB39"/>
      <c s="54" r="AC39"/>
      <c s="54" r="AD39"/>
      <c s="54" r="AE39"/>
      <c s="54" r="AF39"/>
      <c s="54" r="AG39"/>
      <c s="54" r="AH39"/>
    </row>
    <row customHeight="1" r="40" ht="18.0">
      <c s="293" r="A40"/>
      <c s="139" r="B40"/>
      <c s="139" r="C40"/>
      <c s="304" r="D40"/>
      <c s="109" r="E40"/>
      <c s="109" r="F40"/>
      <c s="109" r="G40"/>
      <c s="351" r="H40"/>
      <c s="127" r="I40"/>
      <c s="134" r="J40"/>
      <c s="54" r="K40"/>
      <c s="54" r="L40"/>
      <c s="54" r="M40"/>
      <c s="54" r="N40"/>
      <c s="54" r="O40"/>
      <c s="54" r="P40"/>
      <c s="54" r="Q40"/>
      <c s="54" r="R40"/>
      <c s="54" r="S40"/>
      <c s="54" r="T40"/>
      <c s="54" r="U40"/>
      <c s="54" r="V40"/>
      <c s="54" r="W40"/>
      <c s="54" r="X40"/>
      <c s="54" r="Y40"/>
      <c s="54" r="Z40"/>
      <c s="54" r="AA40"/>
      <c s="54" r="AB40"/>
      <c s="54" r="AC40"/>
      <c s="54" r="AD40"/>
      <c s="54" r="AE40"/>
      <c s="54" r="AF40"/>
      <c s="54" r="AG40"/>
      <c s="54" r="AH40"/>
    </row>
    <row customHeight="1" r="41" ht="18.0">
      <c s="293" r="A41"/>
      <c s="139" r="B41"/>
      <c s="139" r="C41"/>
      <c s="304" r="D41"/>
      <c s="109" r="E41"/>
      <c s="109" r="F41"/>
      <c s="109" r="G41"/>
      <c s="351" r="H41"/>
      <c s="127" r="I41"/>
      <c s="134" r="J41"/>
      <c s="54" r="K41"/>
      <c s="54" r="L41"/>
      <c s="54" r="M41"/>
      <c s="54" r="N41"/>
      <c s="54" r="O41"/>
      <c s="54" r="P41"/>
      <c s="54" r="Q41"/>
      <c s="54" r="R41"/>
      <c s="54" r="S41"/>
      <c s="54" r="T41"/>
      <c s="54" r="U41"/>
      <c s="54" r="V41"/>
      <c s="54" r="W41"/>
      <c s="54" r="X41"/>
      <c s="54" r="Y41"/>
      <c s="54" r="Z41"/>
      <c s="54" r="AA41"/>
      <c s="54" r="AB41"/>
      <c s="54" r="AC41"/>
      <c s="54" r="AD41"/>
      <c s="54" r="AE41"/>
      <c s="54" r="AF41"/>
      <c s="54" r="AG41"/>
      <c s="54" r="AH41"/>
    </row>
    <row customHeight="1" r="42" ht="16.5">
      <c t="s" s="69" r="A42">
        <v>442</v>
      </c>
      <c s="357" r="B42"/>
      <c s="351" r="C42"/>
      <c s="304" r="D42"/>
      <c s="304" r="E42"/>
      <c s="351" r="F42"/>
      <c s="351" r="G42"/>
      <c s="351" r="H42"/>
      <c s="127" r="I42"/>
      <c t="str" s="381" r="J42">
        <f>IF(AND((D43&lt;&gt;""),(D44&gt;0)),A42,"")</f>
        <v>Compute: Instance Type 1</v>
      </c>
      <c s="54" r="K42"/>
      <c s="54" r="L42"/>
      <c s="54" r="M42"/>
      <c s="54" r="N42"/>
      <c s="62" r="O42"/>
      <c s="62" r="P42"/>
      <c s="62" r="Q42"/>
      <c s="62" r="R42"/>
      <c s="62" r="S42"/>
      <c s="62" r="T42"/>
      <c s="54" r="U42"/>
      <c s="54" r="V42"/>
      <c s="54" r="W42"/>
      <c s="54" r="X42"/>
      <c s="54" r="Y42"/>
      <c s="54" r="Z42"/>
      <c s="54" r="AA42"/>
      <c s="54" r="AB42"/>
      <c s="54" r="AC42"/>
      <c s="54" r="AD42"/>
      <c s="54" r="AE42"/>
      <c s="54" r="AF42"/>
      <c s="54" r="AG42"/>
      <c s="54" r="AH42"/>
    </row>
    <row customHeight="1" r="43" ht="18.0">
      <c t="s" s="293" r="A43">
        <v>443</v>
      </c>
      <c s="139" r="B43"/>
      <c s="139" r="C43"/>
      <c t="s" s="85" r="D43">
        <v>156</v>
      </c>
      <c t="s" s="94" r="E43">
        <v>444</v>
      </c>
      <c s="351" r="F43"/>
      <c s="351" r="G43"/>
      <c s="351" r="H43"/>
      <c s="127" r="I43"/>
      <c t="str" s="381" r="J43">
        <f>IF(AND((D43&lt;&gt;""),(D44&gt;0)),D43,"")</f>
        <v>Medium Instance Type</v>
      </c>
      <c s="54" r="K43"/>
      <c s="54" r="L43"/>
      <c s="54" r="M43"/>
      <c s="432" r="N43"/>
      <c t="s" s="42" r="O43">
        <v>445</v>
      </c>
      <c s="290" r="P43"/>
      <c s="290" r="Q43"/>
      <c t="s" s="198" r="R43">
        <v>294</v>
      </c>
      <c s="290" r="S43"/>
      <c s="414" r="T43"/>
      <c s="340" r="U43"/>
      <c s="54" r="V43"/>
      <c s="54" r="W43"/>
      <c s="54" r="X43"/>
      <c s="54" r="Y43"/>
      <c s="54" r="Z43"/>
      <c s="54" r="AA43"/>
      <c s="54" r="AB43"/>
      <c s="54" r="AC43"/>
      <c s="54" r="AD43"/>
      <c s="54" r="AE43"/>
      <c s="54" r="AF43"/>
      <c s="54" r="AG43"/>
      <c s="54" r="AH43"/>
    </row>
    <row customHeight="1" r="44" ht="18.0">
      <c t="s" s="293" r="A44">
        <v>446</v>
      </c>
      <c s="139" r="B44"/>
      <c s="139" r="C44"/>
      <c s="82" r="D44">
        <v>2</v>
      </c>
      <c s="94" r="E44"/>
      <c s="351" r="F44"/>
      <c s="351" r="G44"/>
      <c s="351" r="H44"/>
      <c s="127" r="I44"/>
      <c s="381" r="J44">
        <f>IF(AND((D43&lt;&gt;""),(D44&gt;0)),D44,"")</f>
        <v>2</v>
      </c>
      <c s="54" r="K44"/>
      <c s="54" r="L44"/>
      <c s="54" r="M44"/>
      <c s="432" r="N44"/>
      <c t="str" s="30" r="O44">
        <f>CalculatorDetails!A12</f>
        <v>Medium Instance Type</v>
      </c>
      <c s="221" r="P44"/>
      <c s="221" r="Q44"/>
      <c t="str" s="221" r="R44">
        <f>CalculatorDetails!C12</f>
        <v>1 vCPU, 3.75 GB RAM (approx)</v>
      </c>
      <c s="221" r="S44"/>
      <c s="39" r="T44"/>
      <c s="340" r="U44"/>
      <c s="54" r="V44"/>
      <c s="54" r="W44"/>
      <c s="54" r="X44"/>
      <c s="54" r="Y44"/>
      <c s="54" r="Z44"/>
      <c s="54" r="AA44"/>
      <c s="54" r="AB44"/>
      <c s="54" r="AC44"/>
      <c s="54" r="AD44"/>
      <c s="54" r="AE44"/>
      <c s="54" r="AF44"/>
      <c s="54" r="AG44"/>
      <c s="54" r="AH44"/>
    </row>
    <row customHeight="1" r="45" ht="18.0">
      <c s="293" r="A45"/>
      <c s="139" r="B45"/>
      <c s="139" r="C45"/>
      <c s="304" r="D45"/>
      <c s="94" r="E45"/>
      <c s="351" r="F45"/>
      <c s="351" r="G45"/>
      <c s="351" r="H45"/>
      <c s="127" r="I45"/>
      <c s="134" r="J45"/>
      <c s="54" r="K45"/>
      <c s="54" r="L45"/>
      <c s="54" r="M45"/>
      <c s="432" r="N45"/>
      <c t="str" s="189" r="O45">
        <f>CalculatorDetails!A13</f>
        <v>Large Instance Type</v>
      </c>
      <c s="187" r="P45"/>
      <c s="187" r="Q45"/>
      <c t="str" s="187" r="R45">
        <f>CalculatorDetails!C13</f>
        <v>2 vCPU, 7.5 GB RAM (approx)</v>
      </c>
      <c s="187" r="S45"/>
      <c s="87" r="T45"/>
      <c s="340" r="U45"/>
      <c s="54" r="V45"/>
      <c s="54" r="W45"/>
      <c s="54" r="X45"/>
      <c s="54" r="Y45"/>
      <c s="54" r="Z45"/>
      <c s="54" r="AA45"/>
      <c s="54" r="AB45"/>
      <c s="54" r="AC45"/>
      <c s="54" r="AD45"/>
      <c s="54" r="AE45"/>
      <c s="54" r="AF45"/>
      <c s="54" r="AG45"/>
      <c s="54" r="AH45"/>
    </row>
    <row r="46">
      <c t="s" s="69" r="A46">
        <v>447</v>
      </c>
      <c s="357" r="B46"/>
      <c s="351" r="C46"/>
      <c s="304" r="D46"/>
      <c s="94" r="E46"/>
      <c s="351" r="F46"/>
      <c s="351" r="G46"/>
      <c s="351" r="H46"/>
      <c s="127" r="I46"/>
      <c t="str" s="381" r="J46">
        <f>IF(AND((D47&lt;&gt;""),(D48&gt;0)),A46,"")</f>
        <v>Compute: Instance Type 2</v>
      </c>
      <c s="54" r="K46"/>
      <c s="54" r="L46"/>
      <c s="54" r="M46"/>
      <c s="432" r="N46"/>
      <c t="str" s="189" r="O46">
        <f>CalculatorDetails!A14</f>
        <v>x Large Instance Type</v>
      </c>
      <c s="187" r="P46"/>
      <c s="187" r="Q46"/>
      <c t="str" s="187" r="R46">
        <f>CalculatorDetails!C14</f>
        <v>4 vCPU, 15 GB RAM (approx)</v>
      </c>
      <c s="187" r="S46"/>
      <c s="87" r="T46"/>
      <c s="340" r="U46"/>
      <c s="54" r="V46"/>
      <c s="54" r="W46"/>
      <c s="54" r="X46"/>
      <c s="54" r="Y46"/>
      <c s="54" r="Z46"/>
      <c s="54" r="AA46"/>
      <c s="54" r="AB46"/>
      <c s="54" r="AC46"/>
      <c s="54" r="AD46"/>
      <c s="54" r="AE46"/>
      <c s="54" r="AF46"/>
      <c s="54" r="AG46"/>
      <c s="54" r="AH46"/>
    </row>
    <row customHeight="1" r="47" ht="18.0">
      <c t="s" s="293" r="A47">
        <v>443</v>
      </c>
      <c s="139" r="B47"/>
      <c s="139" r="C47"/>
      <c t="s" s="85" r="D47">
        <v>172</v>
      </c>
      <c t="s" s="94" r="E47">
        <v>444</v>
      </c>
      <c s="351" r="F47"/>
      <c s="351" r="G47"/>
      <c s="351" r="H47"/>
      <c s="127" r="I47"/>
      <c t="str" s="381" r="J47">
        <f>IF(AND((D47&lt;&gt;""),(D48&gt;0)),D47,"")</f>
        <v>High Storage 8x Large Instance Type</v>
      </c>
      <c s="54" r="K47"/>
      <c s="54" r="L47"/>
      <c s="54" r="M47"/>
      <c s="432" r="N47"/>
      <c t="str" s="189" r="O47">
        <f>CalculatorDetails!A15</f>
        <v>2x Large Instance Type</v>
      </c>
      <c s="187" r="P47"/>
      <c s="187" r="Q47"/>
      <c t="str" s="187" r="R47">
        <f>CalculatorDetails!C15</f>
        <v>8 vCPU, 30 GB RAM (approx)</v>
      </c>
      <c s="187" r="S47"/>
      <c s="87" r="T47"/>
      <c s="340" r="U47"/>
      <c s="54" r="V47"/>
      <c s="54" r="W47"/>
      <c s="54" r="X47"/>
      <c s="54" r="Y47"/>
      <c s="54" r="Z47"/>
      <c s="54" r="AA47"/>
      <c s="54" r="AB47"/>
      <c s="54" r="AC47"/>
      <c s="54" r="AD47"/>
      <c s="54" r="AE47"/>
      <c s="54" r="AF47"/>
      <c s="54" r="AG47"/>
      <c s="54" r="AH47"/>
    </row>
    <row customHeight="1" r="48" ht="18.0">
      <c t="s" s="293" r="A48">
        <v>446</v>
      </c>
      <c s="139" r="B48"/>
      <c s="139" r="C48"/>
      <c s="82" r="D48">
        <v>3</v>
      </c>
      <c s="94" r="E48"/>
      <c s="351" r="F48"/>
      <c s="351" r="G48"/>
      <c s="351" r="H48"/>
      <c s="127" r="I48"/>
      <c s="381" r="J48">
        <f>IF(AND((D47&lt;&gt;""),(D48&gt;0)),D48,"")</f>
        <v>3</v>
      </c>
      <c s="54" r="K48"/>
      <c s="54" r="L48"/>
      <c s="54" r="M48"/>
      <c s="432" r="N48"/>
      <c t="str" s="189" r="O48">
        <f>CalculatorDetails!A16</f>
        <v>Large Instance Type, Gen 2</v>
      </c>
      <c s="187" r="P48"/>
      <c s="187" r="Q48"/>
      <c t="str" s="187" r="R48">
        <f>CalculatorDetails!C16</f>
        <v>2 vCPU, 3.75 GB RAM (approx)</v>
      </c>
      <c s="187" r="S48"/>
      <c s="87" r="T48"/>
      <c s="340" r="U48"/>
      <c s="54" r="V48"/>
      <c s="54" r="W48"/>
      <c s="54" r="X48"/>
      <c s="54" r="Y48"/>
      <c s="54" r="Z48"/>
      <c s="54" r="AA48"/>
      <c s="54" r="AB48"/>
      <c s="54" r="AC48"/>
      <c s="54" r="AD48"/>
      <c s="54" r="AE48"/>
      <c s="54" r="AF48"/>
      <c s="54" r="AG48"/>
      <c s="54" r="AH48"/>
    </row>
    <row customHeight="1" r="49" ht="18.0">
      <c s="293" r="A49"/>
      <c s="139" r="B49"/>
      <c s="139" r="C49"/>
      <c s="304" r="D49"/>
      <c s="94" r="E49"/>
      <c s="351" r="F49"/>
      <c s="351" r="G49"/>
      <c s="351" r="H49"/>
      <c s="127" r="I49"/>
      <c s="134" r="J49"/>
      <c s="54" r="K49"/>
      <c s="54" r="L49"/>
      <c s="54" r="M49"/>
      <c s="432" r="N49"/>
      <c t="str" s="189" r="O49">
        <f>CalculatorDetails!A17</f>
        <v>4x Large Instance Type</v>
      </c>
      <c s="187" r="P49"/>
      <c s="187" r="Q49"/>
      <c t="str" s="187" r="R49">
        <f>CalculatorDetails!C17</f>
        <v>16 vCPU, 30 GB RAM (approx)</v>
      </c>
      <c s="187" r="S49"/>
      <c s="87" r="T49"/>
      <c s="340" r="U49"/>
      <c s="54" r="V49"/>
      <c s="54" r="W49"/>
      <c s="54" r="X49"/>
      <c s="54" r="Y49"/>
      <c s="54" r="Z49"/>
      <c s="54" r="AA49"/>
      <c s="54" r="AB49"/>
      <c s="54" r="AC49"/>
      <c s="54" r="AD49"/>
      <c s="54" r="AE49"/>
      <c s="54" r="AF49"/>
      <c s="54" r="AG49"/>
      <c s="54" r="AH49"/>
    </row>
    <row r="50">
      <c t="s" s="69" r="A50">
        <v>448</v>
      </c>
      <c s="357" r="B50"/>
      <c s="351" r="C50"/>
      <c s="304" r="D50"/>
      <c s="94" r="E50"/>
      <c s="351" r="F50"/>
      <c s="351" r="G50"/>
      <c s="351" r="H50"/>
      <c s="127" r="I50"/>
      <c t="str" s="381" r="J50">
        <f>IF(AND((D51&lt;&gt;""),(D52&gt;0)),A50,"")</f>
        <v/>
      </c>
      <c s="54" r="K50"/>
      <c s="54" r="L50"/>
      <c s="54" r="M50"/>
      <c s="432" r="N50"/>
      <c t="str" s="189" r="O50">
        <f>CalculatorDetails!A18</f>
        <v>High CPU 8x Large Instance Type</v>
      </c>
      <c s="187" r="P50"/>
      <c s="187" r="Q50"/>
      <c t="str" s="187" r="R50">
        <f>CalculatorDetails!C18</f>
        <v>32 vCPU, 60 GB RAM (approx)</v>
      </c>
      <c s="187" r="S50"/>
      <c s="87" r="T50"/>
      <c s="340" r="U50"/>
      <c s="54" r="V50"/>
      <c s="54" r="W50"/>
      <c s="54" r="X50"/>
      <c s="54" r="Y50"/>
      <c s="54" r="Z50"/>
      <c s="54" r="AA50"/>
      <c s="54" r="AB50"/>
      <c s="54" r="AC50"/>
      <c s="54" r="AD50"/>
      <c s="54" r="AE50"/>
      <c s="54" r="AF50"/>
      <c s="54" r="AG50"/>
      <c s="54" r="AH50"/>
    </row>
    <row customHeight="1" r="51" ht="18.0">
      <c t="s" s="293" r="A51">
        <v>443</v>
      </c>
      <c s="139" r="B51"/>
      <c s="139" r="C51"/>
      <c s="85" r="D51"/>
      <c t="s" s="94" r="E51">
        <v>444</v>
      </c>
      <c s="351" r="F51"/>
      <c s="351" r="G51"/>
      <c s="351" r="H51"/>
      <c s="127" r="I51"/>
      <c t="str" s="381" r="J51">
        <f>IF(AND((D51&lt;&gt;""),(D52&gt;0)),D51,"")</f>
        <v/>
      </c>
      <c s="54" r="K51"/>
      <c s="54" r="L51"/>
      <c s="54" r="M51"/>
      <c s="432" r="N51"/>
      <c t="str" s="189" r="O51">
        <f>CalculatorDetails!A19</f>
        <v>High Storage 8x Large Instance Type</v>
      </c>
      <c s="187" r="P51"/>
      <c s="187" r="Q51"/>
      <c t="str" s="187" r="R51">
        <f>CalculatorDetails!C19</f>
        <v>16 vCPU, 117 GB RAM (approx)</v>
      </c>
      <c s="187" r="S51"/>
      <c s="87" r="T51"/>
      <c s="340" r="U51"/>
      <c s="54" r="V51"/>
      <c s="54" r="W51"/>
      <c s="54" r="X51"/>
      <c s="54" r="Y51"/>
      <c s="54" r="Z51"/>
      <c s="54" r="AA51"/>
      <c s="54" r="AB51"/>
      <c s="54" r="AC51"/>
      <c s="54" r="AD51"/>
      <c s="54" r="AE51"/>
      <c s="54" r="AF51"/>
      <c s="54" r="AG51"/>
      <c s="54" r="AH51"/>
    </row>
    <row customHeight="1" r="52" ht="18.0">
      <c t="s" s="293" r="A52">
        <v>446</v>
      </c>
      <c s="139" r="B52"/>
      <c s="139" r="C52"/>
      <c s="82" r="D52"/>
      <c s="94" r="E52"/>
      <c s="351" r="F52"/>
      <c s="351" r="G52"/>
      <c s="351" r="H52"/>
      <c s="127" r="I52"/>
      <c t="str" s="381" r="J52">
        <f>IF(AND((D51&lt;&gt;""),(D52&gt;0)),D52,"")</f>
        <v/>
      </c>
      <c s="54" r="K52"/>
      <c s="54" r="L52"/>
      <c s="54" r="M52"/>
      <c s="432" r="N52"/>
      <c s="189" r="O52"/>
      <c s="187" r="P52"/>
      <c s="187" r="Q52"/>
      <c s="187" r="R52"/>
      <c s="187" r="S52"/>
      <c s="87" r="T52"/>
      <c s="340" r="U52"/>
      <c s="54" r="V52"/>
      <c s="54" r="W52"/>
      <c s="54" r="X52"/>
      <c s="54" r="Y52"/>
      <c s="54" r="Z52"/>
      <c s="54" r="AA52"/>
      <c s="54" r="AB52"/>
      <c s="54" r="AC52"/>
      <c s="54" r="AD52"/>
      <c s="54" r="AE52"/>
      <c s="54" r="AF52"/>
      <c s="54" r="AG52"/>
      <c s="54" r="AH52"/>
    </row>
    <row customHeight="1" r="53" ht="18.0">
      <c s="293" r="A53"/>
      <c s="139" r="B53"/>
      <c s="139" r="C53"/>
      <c s="417" r="D53"/>
      <c s="94" r="E53"/>
      <c s="351" r="F53"/>
      <c s="351" r="G53"/>
      <c s="351" r="H53"/>
      <c s="127" r="I53"/>
      <c s="134" r="J53"/>
      <c s="54" r="K53"/>
      <c s="54" r="L53"/>
      <c s="54" r="M53"/>
      <c s="432" r="N53"/>
      <c s="170" r="O53"/>
      <c s="222" r="P53"/>
      <c s="222" r="Q53"/>
      <c s="222" r="R53"/>
      <c s="222" r="S53"/>
      <c s="143" r="T53"/>
      <c s="340" r="U53"/>
      <c s="54" r="V53"/>
      <c s="54" r="W53"/>
      <c s="54" r="X53"/>
      <c s="54" r="Y53"/>
      <c s="54" r="Z53"/>
      <c s="54" r="AA53"/>
      <c s="54" r="AB53"/>
      <c s="54" r="AC53"/>
      <c s="54" r="AD53"/>
      <c s="54" r="AE53"/>
      <c s="54" r="AF53"/>
      <c s="54" r="AG53"/>
      <c s="54" r="AH53"/>
    </row>
    <row customHeight="1" r="54" ht="18.0">
      <c t="s" s="69" r="A54">
        <v>449</v>
      </c>
      <c s="357" r="B54"/>
      <c s="351" r="C54"/>
      <c s="304" r="D54"/>
      <c s="94" r="E54"/>
      <c s="351" r="F54"/>
      <c s="351" r="G54"/>
      <c s="351" r="H54"/>
      <c s="127" r="I54"/>
      <c t="str" s="381" r="J54">
        <f>IF(AND((D55&lt;&gt;""),(D56&gt;0)),A54,"")</f>
        <v/>
      </c>
      <c s="54" r="K54"/>
      <c s="54" r="L54"/>
      <c s="54" r="M54"/>
      <c s="54" r="N54"/>
      <c s="423" r="O54"/>
      <c s="423" r="P54"/>
      <c s="423" r="Q54"/>
      <c s="423" r="R54"/>
      <c s="423" r="S54"/>
      <c s="423" r="T54"/>
      <c s="54" r="U54"/>
      <c s="54" r="V54"/>
      <c s="54" r="W54"/>
      <c s="54" r="X54"/>
      <c s="54" r="Y54"/>
      <c s="54" r="Z54"/>
      <c s="54" r="AA54"/>
      <c s="54" r="AB54"/>
      <c s="54" r="AC54"/>
      <c s="54" r="AD54"/>
      <c s="54" r="AE54"/>
      <c s="54" r="AF54"/>
      <c s="54" r="AG54"/>
      <c s="54" r="AH54"/>
    </row>
    <row customHeight="1" r="55" ht="18.0">
      <c t="s" s="293" r="A55">
        <v>443</v>
      </c>
      <c s="139" r="B55"/>
      <c s="139" r="C55"/>
      <c s="85" r="D55"/>
      <c t="s" s="94" r="E55">
        <v>444</v>
      </c>
      <c s="351" r="F55"/>
      <c s="351" r="G55"/>
      <c s="351" r="H55"/>
      <c s="127" r="I55"/>
      <c t="str" s="381" r="J55">
        <f>IF(AND((D55&lt;&gt;""),(D56&gt;0)),D55,"")</f>
        <v/>
      </c>
      <c s="54" r="K55"/>
      <c s="54" r="L55"/>
      <c s="54" r="M55"/>
      <c s="54" r="N55"/>
      <c s="54" r="O55"/>
      <c s="54" r="P55"/>
      <c s="54" r="Q55"/>
      <c s="54" r="R55"/>
      <c s="54" r="S55"/>
      <c s="54" r="T55"/>
      <c s="54" r="U55"/>
      <c s="54" r="V55"/>
      <c s="54" r="W55"/>
      <c s="54" r="X55"/>
      <c s="54" r="Y55"/>
      <c s="54" r="Z55"/>
      <c s="54" r="AA55"/>
      <c s="54" r="AB55"/>
      <c s="54" r="AC55"/>
      <c s="54" r="AD55"/>
      <c s="54" r="AE55"/>
      <c s="54" r="AF55"/>
      <c s="54" r="AG55"/>
      <c s="54" r="AH55"/>
    </row>
    <row customHeight="1" r="56" ht="18.0">
      <c t="s" s="293" r="A56">
        <v>446</v>
      </c>
      <c s="139" r="B56"/>
      <c s="139" r="C56"/>
      <c s="82" r="D56"/>
      <c s="94" r="E56"/>
      <c s="351" r="F56"/>
      <c s="351" r="G56"/>
      <c s="351" r="H56"/>
      <c s="127" r="I56"/>
      <c t="str" s="381" r="J56">
        <f>IF(AND((D55&lt;&gt;""),(D56&gt;0)),D56,"")</f>
        <v/>
      </c>
      <c s="54" r="K56"/>
      <c s="54" r="L56"/>
      <c s="54" r="M56"/>
      <c s="54" r="N56"/>
      <c s="54" r="O56"/>
      <c s="54" r="P56"/>
      <c s="54" r="Q56"/>
      <c s="54" r="R56"/>
      <c s="54" r="S56"/>
      <c s="54" r="T56"/>
      <c s="54" r="U56"/>
      <c s="54" r="V56"/>
      <c s="54" r="W56"/>
      <c s="54" r="X56"/>
      <c s="54" r="Y56"/>
      <c s="54" r="Z56"/>
      <c s="54" r="AA56"/>
      <c s="54" r="AB56"/>
      <c s="54" r="AC56"/>
      <c s="54" r="AD56"/>
      <c s="54" r="AE56"/>
      <c s="54" r="AF56"/>
      <c s="54" r="AG56"/>
      <c s="54" r="AH56"/>
    </row>
    <row customHeight="1" r="57" ht="18.0">
      <c s="293" r="A57"/>
      <c s="139" r="B57"/>
      <c s="139" r="C57"/>
      <c s="417" r="D57"/>
      <c s="94" r="E57"/>
      <c s="351" r="F57"/>
      <c s="351" r="G57"/>
      <c s="351" r="H57"/>
      <c s="127" r="I57"/>
      <c s="134" r="J57"/>
      <c s="54" r="K57"/>
      <c s="54" r="L57"/>
      <c s="54" r="M57"/>
      <c s="54" r="N57"/>
      <c s="54" r="O57"/>
      <c s="54" r="P57"/>
      <c s="54" r="Q57"/>
      <c s="54" r="R57"/>
      <c s="54" r="S57"/>
      <c s="54" r="T57"/>
      <c s="54" r="U57"/>
      <c s="54" r="V57"/>
      <c s="54" r="W57"/>
      <c s="54" r="X57"/>
      <c s="54" r="Y57"/>
      <c s="54" r="Z57"/>
      <c s="54" r="AA57"/>
      <c s="54" r="AB57"/>
      <c s="54" r="AC57"/>
      <c s="54" r="AD57"/>
      <c s="54" r="AE57"/>
      <c s="54" r="AF57"/>
      <c s="54" r="AG57"/>
      <c s="54" r="AH57"/>
    </row>
    <row customHeight="1" r="58" ht="18.0">
      <c t="s" s="69" r="A58">
        <v>450</v>
      </c>
      <c s="357" r="B58"/>
      <c s="351" r="C58"/>
      <c s="304" r="D58"/>
      <c s="94" r="E58"/>
      <c s="351" r="F58"/>
      <c s="351" r="G58"/>
      <c s="351" r="H58"/>
      <c s="127" r="I58"/>
      <c t="str" s="381" r="J58">
        <f>IF(AND((D59&lt;&gt;""),(D60&gt;0)),A58,"")</f>
        <v/>
      </c>
      <c s="54" r="K58"/>
      <c s="54" r="L58"/>
      <c s="54" r="M58"/>
      <c s="54" r="N58"/>
      <c s="54" r="O58"/>
      <c s="54" r="P58"/>
      <c s="54" r="Q58"/>
      <c s="54" r="R58"/>
      <c s="54" r="S58"/>
      <c s="54" r="T58"/>
      <c s="54" r="U58"/>
      <c s="54" r="V58"/>
      <c s="54" r="W58"/>
      <c s="54" r="X58"/>
      <c s="54" r="Y58"/>
      <c s="54" r="Z58"/>
      <c s="54" r="AA58"/>
      <c s="54" r="AB58"/>
      <c s="54" r="AC58"/>
      <c s="54" r="AD58"/>
      <c s="54" r="AE58"/>
      <c s="54" r="AF58"/>
      <c s="54" r="AG58"/>
      <c s="54" r="AH58"/>
    </row>
    <row customHeight="1" r="59" ht="18.0">
      <c t="s" s="293" r="A59">
        <v>443</v>
      </c>
      <c s="139" r="B59"/>
      <c s="139" r="C59"/>
      <c s="85" r="D59"/>
      <c t="s" s="94" r="E59">
        <v>444</v>
      </c>
      <c s="351" r="F59"/>
      <c s="351" r="G59"/>
      <c s="351" r="H59"/>
      <c s="127" r="I59"/>
      <c t="str" s="381" r="J59">
        <f>IF(AND((D59&lt;&gt;""),(D60&gt;0)),D59,"")</f>
        <v/>
      </c>
      <c s="54" r="K59"/>
      <c s="54" r="L59"/>
      <c s="54" r="M59"/>
      <c s="54" r="N59"/>
      <c s="54" r="O59"/>
      <c s="54" r="P59"/>
      <c s="54" r="Q59"/>
      <c s="54" r="R59"/>
      <c s="54" r="S59"/>
      <c s="54" r="T59"/>
      <c s="54" r="U59"/>
      <c s="54" r="V59"/>
      <c s="54" r="W59"/>
      <c s="54" r="X59"/>
      <c s="54" r="Y59"/>
      <c s="54" r="Z59"/>
      <c s="54" r="AA59"/>
      <c s="54" r="AB59"/>
      <c s="54" r="AC59"/>
      <c s="54" r="AD59"/>
      <c s="54" r="AE59"/>
      <c s="54" r="AF59"/>
      <c s="54" r="AG59"/>
      <c s="54" r="AH59"/>
    </row>
    <row customHeight="1" r="60" ht="18.0">
      <c t="s" s="293" r="A60">
        <v>446</v>
      </c>
      <c s="139" r="B60"/>
      <c s="139" r="C60"/>
      <c s="82" r="D60"/>
      <c s="94" r="E60"/>
      <c s="351" r="F60"/>
      <c s="351" r="G60"/>
      <c s="351" r="H60"/>
      <c s="127" r="I60"/>
      <c t="str" s="381" r="J60">
        <f>IF(AND((D59&lt;&gt;""),(D60&gt;0)),D60,"")</f>
        <v/>
      </c>
      <c s="54" r="K60"/>
      <c s="54" r="L60"/>
      <c s="54" r="M60"/>
      <c s="54" r="N60"/>
      <c s="54" r="O60"/>
      <c s="54" r="P60"/>
      <c s="54" r="Q60"/>
      <c s="54" r="R60"/>
      <c s="54" r="S60"/>
      <c s="54" r="T60"/>
      <c s="54" r="U60"/>
      <c s="54" r="V60"/>
      <c s="54" r="W60"/>
      <c s="54" r="X60"/>
      <c s="54" r="Y60"/>
      <c s="54" r="Z60"/>
      <c s="54" r="AA60"/>
      <c s="54" r="AB60"/>
      <c s="54" r="AC60"/>
      <c s="54" r="AD60"/>
      <c s="54" r="AE60"/>
      <c s="54" r="AF60"/>
      <c s="54" r="AG60"/>
      <c s="54" r="AH60"/>
    </row>
    <row customHeight="1" r="61" ht="18.0">
      <c s="431" r="A61"/>
      <c s="136" r="B61"/>
      <c s="136" r="C61"/>
      <c s="192" r="D61"/>
      <c s="349" r="E61"/>
      <c s="365" r="F61"/>
      <c s="365" r="G61"/>
      <c s="365" r="H61"/>
      <c s="353" r="I61"/>
      <c s="134" r="J61"/>
      <c s="54" r="K61"/>
      <c s="54" r="L61"/>
      <c s="54" r="M61"/>
      <c s="54" r="N61"/>
      <c s="54" r="O61"/>
      <c s="54" r="P61"/>
      <c s="54" r="Q61"/>
      <c s="54" r="R61"/>
      <c s="54" r="S61"/>
      <c s="54" r="T61"/>
      <c s="54" r="U61"/>
      <c s="54" r="V61"/>
      <c s="54" r="W61"/>
      <c s="54" r="X61"/>
      <c s="54" r="Y61"/>
      <c s="54" r="Z61"/>
      <c s="54" r="AA61"/>
      <c s="54" r="AB61"/>
      <c s="54" r="AC61"/>
      <c s="54" r="AD61"/>
      <c s="54" r="AE61"/>
      <c s="54" r="AF61"/>
      <c s="54" r="AG61"/>
      <c s="54" r="AH61"/>
    </row>
    <row customHeight="1" r="62" ht="24.75">
      <c t="s" s="274" r="A62">
        <v>451</v>
      </c>
      <c s="259" r="B62"/>
      <c s="259" r="C62"/>
      <c s="283" r="D62"/>
      <c s="10" r="E62"/>
      <c s="379" r="F62"/>
      <c s="379" r="G62"/>
      <c s="379" r="H62"/>
      <c s="251" r="I62"/>
      <c s="132" r="J62"/>
      <c s="54" r="K62"/>
      <c s="54" r="L62"/>
      <c s="54" r="M62"/>
      <c s="54" r="N62"/>
      <c s="54" r="O62"/>
      <c s="54" r="P62"/>
      <c s="54" r="Q62"/>
      <c s="54" r="R62"/>
      <c s="54" r="S62"/>
      <c s="54" r="T62"/>
      <c s="54" r="U62"/>
      <c s="54" r="V62"/>
      <c s="54" r="W62"/>
      <c s="54" r="X62"/>
      <c s="54" r="Y62"/>
      <c s="54" r="Z62"/>
      <c s="54" r="AA62"/>
      <c s="54" r="AB62"/>
      <c s="54" r="AC62"/>
      <c s="54" r="AD62"/>
      <c s="54" r="AE62"/>
      <c s="54" r="AF62"/>
      <c s="54" r="AG62"/>
      <c s="54" r="AH62"/>
    </row>
    <row customHeight="1" r="63" ht="18.0">
      <c t="s" s="407" r="A63">
        <v>452</v>
      </c>
      <c s="79" r="B63"/>
      <c s="79" r="C63"/>
      <c s="305" r="D63"/>
      <c s="66" r="E63"/>
      <c s="218" r="F63"/>
      <c s="218" r="G63"/>
      <c s="218" r="H63"/>
      <c s="184" r="I63"/>
      <c s="134" r="J63"/>
      <c s="54" r="K63"/>
      <c s="54" r="L63"/>
      <c s="54" r="M63"/>
      <c s="54" r="N63"/>
      <c s="54" r="O63"/>
      <c s="54" r="P63"/>
      <c s="54" r="Q63"/>
      <c s="54" r="R63"/>
      <c s="54" r="S63"/>
      <c s="54" r="T63"/>
      <c s="54" r="U63"/>
      <c s="54" r="V63"/>
      <c s="54" r="W63"/>
      <c s="54" r="X63"/>
      <c s="54" r="Y63"/>
      <c s="54" r="Z63"/>
      <c s="54" r="AA63"/>
      <c s="54" r="AB63"/>
      <c s="54" r="AC63"/>
      <c s="54" r="AD63"/>
      <c s="54" r="AE63"/>
      <c s="54" r="AF63"/>
      <c s="54" r="AG63"/>
      <c s="54" r="AH63"/>
    </row>
    <row customHeight="1" r="64" ht="18.0">
      <c t="s" s="225" r="A64">
        <v>453</v>
      </c>
      <c s="139" r="B64"/>
      <c s="139" r="C64"/>
      <c s="85" r="D64"/>
      <c s="94" r="E64"/>
      <c s="351" r="F64"/>
      <c s="351" r="G64"/>
      <c s="351" r="H64"/>
      <c s="127" r="I64"/>
      <c s="134" r="J64"/>
      <c s="54" r="K64"/>
      <c s="54" r="L64"/>
      <c s="54" r="M64"/>
      <c s="54" r="N64"/>
      <c s="54" r="O64"/>
      <c s="54" r="P64"/>
      <c s="54" r="Q64"/>
      <c s="54" r="R64"/>
      <c s="54" r="S64"/>
      <c s="54" r="T64"/>
      <c s="54" r="U64"/>
      <c s="54" r="V64"/>
      <c s="54" r="W64"/>
      <c s="54" r="X64"/>
      <c s="54" r="Y64"/>
      <c s="54" r="Z64"/>
      <c s="54" r="AA64"/>
      <c s="54" r="AB64"/>
      <c s="54" r="AC64"/>
      <c s="54" r="AD64"/>
      <c s="54" r="AE64"/>
      <c s="54" r="AF64"/>
      <c s="54" r="AG64"/>
      <c s="54" r="AH64"/>
    </row>
    <row customHeight="1" r="65" ht="18.0">
      <c t="s" s="225" r="A65">
        <v>454</v>
      </c>
      <c s="139" r="B65"/>
      <c s="139" r="C65"/>
      <c s="82" r="D65"/>
      <c s="94" r="E65"/>
      <c s="351" r="F65"/>
      <c s="351" r="G65"/>
      <c s="351" r="H65"/>
      <c s="127" r="I65"/>
      <c s="134" r="J65"/>
      <c s="54" r="K65"/>
      <c s="54" r="L65"/>
      <c s="54" r="M65"/>
      <c s="54" r="N65"/>
      <c s="54" r="O65"/>
      <c s="54" r="P65"/>
      <c s="54" r="Q65"/>
      <c s="54" r="R65"/>
      <c s="54" r="S65"/>
      <c s="54" r="T65"/>
      <c s="54" r="U65"/>
      <c s="54" r="V65"/>
      <c s="54" r="W65"/>
      <c s="54" r="X65"/>
      <c s="54" r="Y65"/>
      <c s="54" r="Z65"/>
      <c s="54" r="AA65"/>
      <c s="54" r="AB65"/>
      <c s="54" r="AC65"/>
      <c s="54" r="AD65"/>
      <c s="54" r="AE65"/>
      <c s="54" r="AF65"/>
      <c s="54" r="AG65"/>
      <c s="54" r="AH65"/>
    </row>
    <row customHeight="1" r="66" ht="18.0">
      <c t="s" s="225" r="A66">
        <v>455</v>
      </c>
      <c s="139" r="B66"/>
      <c s="139" r="C66"/>
      <c s="82" r="D66"/>
      <c s="94" r="E66"/>
      <c s="351" r="F66"/>
      <c s="351" r="G66"/>
      <c s="351" r="H66"/>
      <c s="127" r="I66"/>
      <c s="134" r="J66"/>
      <c s="54" r="K66"/>
      <c s="54" r="L66"/>
      <c s="54" r="M66"/>
      <c s="54" r="N66"/>
      <c s="54" r="O66"/>
      <c s="54" r="P66"/>
      <c s="54" r="Q66"/>
      <c s="54" r="R66"/>
      <c s="54" r="S66"/>
      <c s="54" r="T66"/>
      <c s="54" r="U66"/>
      <c s="54" r="V66"/>
      <c s="54" r="W66"/>
      <c s="54" r="X66"/>
      <c s="54" r="Y66"/>
      <c s="54" r="Z66"/>
      <c s="54" r="AA66"/>
      <c s="54" r="AB66"/>
      <c s="54" r="AC66"/>
      <c s="54" r="AD66"/>
      <c s="54" r="AE66"/>
      <c s="54" r="AF66"/>
      <c s="54" r="AG66"/>
      <c s="54" r="AH66"/>
    </row>
    <row r="67">
      <c t="s" s="225" r="A67">
        <v>456</v>
      </c>
      <c s="357" r="B67"/>
      <c s="351" r="C67"/>
      <c s="82" r="D67"/>
      <c s="94" r="E67"/>
      <c s="351" r="F67"/>
      <c s="351" r="G67"/>
      <c s="351" r="H67"/>
      <c s="127" r="I67"/>
      <c s="134" r="J67"/>
      <c s="54" r="K67"/>
      <c s="54" r="L67"/>
      <c s="54" r="M67"/>
      <c s="54" r="N67"/>
      <c s="54" r="O67"/>
      <c s="54" r="P67"/>
      <c s="54" r="Q67"/>
      <c s="54" r="R67"/>
      <c s="54" r="S67"/>
      <c s="54" r="T67"/>
      <c s="54" r="U67"/>
      <c s="54" r="V67"/>
      <c s="54" r="W67"/>
      <c s="54" r="X67"/>
      <c s="54" r="Y67"/>
      <c s="54" r="Z67"/>
      <c s="54" r="AA67"/>
      <c s="54" r="AB67"/>
      <c s="54" r="AC67"/>
      <c s="54" r="AD67"/>
      <c s="54" r="AE67"/>
      <c s="54" r="AF67"/>
      <c s="54" r="AG67"/>
      <c s="54" r="AH67"/>
    </row>
    <row r="68">
      <c s="293" r="A68"/>
      <c s="357" r="B68"/>
      <c s="351" r="C68"/>
      <c s="304" r="D68"/>
      <c s="94" r="E68"/>
      <c s="351" r="F68"/>
      <c s="351" r="G68"/>
      <c s="351" r="H68"/>
      <c s="127" r="I68"/>
      <c s="134" r="J68"/>
      <c s="54" r="K68"/>
      <c s="54" r="L68"/>
      <c s="54" r="M68"/>
      <c s="54" r="N68"/>
      <c s="54" r="O68"/>
      <c s="54" r="P68"/>
      <c s="54" r="Q68"/>
      <c s="54" r="R68"/>
      <c s="54" r="S68"/>
      <c s="54" r="T68"/>
      <c s="54" r="U68"/>
      <c s="54" r="V68"/>
      <c s="54" r="W68"/>
      <c s="54" r="X68"/>
      <c s="54" r="Y68"/>
      <c s="54" r="Z68"/>
      <c s="54" r="AA68"/>
      <c s="54" r="AB68"/>
      <c s="54" r="AC68"/>
      <c s="54" r="AD68"/>
      <c s="54" r="AE68"/>
      <c s="54" r="AF68"/>
      <c s="54" r="AG68"/>
      <c s="54" r="AH68"/>
    </row>
    <row r="69">
      <c s="431" r="A69"/>
      <c s="159" r="B69"/>
      <c s="365" r="C69"/>
      <c s="192" r="D69"/>
      <c s="349" r="E69"/>
      <c s="365" r="F69"/>
      <c s="365" r="G69"/>
      <c s="365" r="H69"/>
      <c s="353" r="I69"/>
      <c s="134" r="J69"/>
      <c s="54" r="K69"/>
      <c s="54" r="L69"/>
      <c s="54" r="M69"/>
      <c s="54" r="N69"/>
      <c s="54" r="O69"/>
      <c s="54" r="P69"/>
      <c s="54" r="Q69"/>
      <c s="54" r="R69"/>
      <c s="54" r="S69"/>
      <c s="54" r="T69"/>
      <c s="54" r="U69"/>
      <c s="54" r="V69"/>
      <c s="54" r="W69"/>
      <c s="54" r="X69"/>
      <c s="54" r="Y69"/>
      <c s="54" r="Z69"/>
      <c s="54" r="AA69"/>
      <c s="54" r="AB69"/>
      <c s="54" r="AC69"/>
      <c s="54" r="AD69"/>
      <c s="54" r="AE69"/>
      <c s="54" r="AF69"/>
      <c s="54" r="AG69"/>
      <c s="54" r="AH69"/>
    </row>
    <row customHeight="1" r="70" ht="22.5">
      <c t="s" s="419" r="A70">
        <v>457</v>
      </c>
      <c s="385" r="B70"/>
      <c s="160" r="C70"/>
      <c s="160" r="D70"/>
      <c s="160" r="E70"/>
      <c s="160" r="F70"/>
      <c s="160" r="G70"/>
      <c s="160" r="H70"/>
      <c s="439" r="I70"/>
      <c s="396" r="J70"/>
      <c s="410" r="K70"/>
      <c s="410" r="L70"/>
      <c s="410" r="M70"/>
      <c s="351" r="N70"/>
      <c s="54" r="O70"/>
      <c s="54" r="P70"/>
      <c s="54" r="Q70"/>
      <c s="54" r="R70"/>
      <c s="54" r="S70"/>
      <c s="54" r="T70"/>
      <c s="54" r="U70"/>
      <c s="54" r="V70"/>
      <c s="54" r="W70"/>
      <c s="54" r="X70"/>
      <c s="54" r="Y70"/>
      <c s="54" r="Z70"/>
      <c s="54" r="AA70"/>
      <c s="54" r="AB70"/>
      <c s="54" r="AC70"/>
      <c s="54" r="AD70"/>
      <c s="54" r="AE70"/>
      <c s="54" r="AF70"/>
      <c s="54" r="AG70"/>
      <c s="54" r="AH70"/>
    </row>
    <row r="71">
      <c s="218" r="A71"/>
      <c s="12" r="B71"/>
      <c s="218" r="C71"/>
      <c s="218" r="D71"/>
      <c s="66" r="E71"/>
      <c s="218" r="F71"/>
      <c s="218" r="G71"/>
      <c s="218" r="H71"/>
      <c s="184" r="I71"/>
      <c s="134" r="J71"/>
      <c s="54" r="K71"/>
      <c s="54" r="L71"/>
      <c s="54" r="M71"/>
      <c s="54" r="N71"/>
      <c s="54" r="O71"/>
      <c s="54" r="P71"/>
      <c s="54" r="Q71"/>
      <c s="54" r="R71"/>
      <c s="54" r="S71"/>
      <c s="54" r="T71"/>
      <c s="54" r="U71"/>
      <c s="54" r="V71"/>
      <c s="54" r="W71"/>
      <c s="54" r="X71"/>
      <c s="54" r="Y71"/>
      <c s="54" r="Z71"/>
      <c s="54" r="AA71"/>
      <c s="54" r="AB71"/>
      <c s="54" r="AC71"/>
      <c s="54" r="AD71"/>
      <c s="54" r="AE71"/>
      <c s="54" r="AF71"/>
      <c s="54" r="AG71"/>
      <c s="54" r="AH71"/>
    </row>
    <row r="72">
      <c t="s" s="293" r="A72">
        <v>458</v>
      </c>
      <c s="357" r="B72"/>
      <c s="351" r="C72"/>
      <c s="133" r="D72">
        <v>0.75</v>
      </c>
      <c t="s" s="94" r="E72">
        <v>459</v>
      </c>
      <c s="351" r="F72"/>
      <c s="351" r="G72"/>
      <c s="351" r="H72"/>
      <c s="127" r="I72"/>
      <c t="str" s="381" r="J72">
        <f>CONCATENATE(TEXT(D72,"0%")," storage discount")</f>
        <v>75% storage discount</v>
      </c>
      <c s="54" r="K72"/>
      <c s="54" r="L72"/>
      <c s="54" r="M72"/>
      <c s="54" r="N72"/>
      <c s="54" r="O72"/>
      <c s="54" r="P72"/>
      <c s="54" r="Q72"/>
      <c s="54" r="R72"/>
      <c s="54" r="S72"/>
      <c s="54" r="T72"/>
      <c s="54" r="U72"/>
      <c s="54" r="V72"/>
      <c s="54" r="W72"/>
      <c s="54" r="X72"/>
      <c s="54" r="Y72"/>
      <c s="54" r="Z72"/>
      <c s="54" r="AA72"/>
      <c s="54" r="AB72"/>
      <c s="54" r="AC72"/>
      <c s="54" r="AD72"/>
      <c s="54" r="AE72"/>
      <c s="54" r="AF72"/>
      <c s="54" r="AG72"/>
      <c s="54" r="AH72"/>
    </row>
    <row r="73">
      <c t="s" s="293" r="A73">
        <v>460</v>
      </c>
      <c s="357" r="B73"/>
      <c s="351" r="C73"/>
      <c s="133" r="D73">
        <v>0.4</v>
      </c>
      <c t="s" s="94" r="E73">
        <v>461</v>
      </c>
      <c s="351" r="F73"/>
      <c s="351" r="G73"/>
      <c s="351" r="H73"/>
      <c s="127" r="I73"/>
      <c t="str" s="381" r="J73">
        <f>CONCATENATE(TEXT(D73,"0%")," compute discount")</f>
        <v>40% compute discount</v>
      </c>
      <c s="54" r="K73"/>
      <c s="54" r="L73"/>
      <c s="54" r="M73"/>
      <c s="54" r="N73"/>
      <c s="54" r="O73"/>
      <c s="54" r="P73"/>
      <c s="54" r="Q73"/>
      <c s="54" r="R73"/>
      <c s="54" r="S73"/>
      <c s="54" r="T73"/>
      <c s="54" r="U73"/>
      <c s="54" r="V73"/>
      <c s="54" r="W73"/>
      <c s="54" r="X73"/>
      <c s="54" r="Y73"/>
      <c s="54" r="Z73"/>
      <c s="54" r="AA73"/>
      <c s="54" r="AB73"/>
      <c s="54" r="AC73"/>
      <c s="54" r="AD73"/>
      <c s="54" r="AE73"/>
      <c s="54" r="AF73"/>
      <c s="54" r="AG73"/>
      <c s="54" r="AH73"/>
    </row>
    <row r="74">
      <c t="s" s="293" r="A74">
        <v>462</v>
      </c>
      <c s="357" r="B74"/>
      <c s="351" r="C74"/>
      <c s="133" r="D74">
        <v>0.4</v>
      </c>
      <c t="s" s="94" r="E74">
        <v>463</v>
      </c>
      <c s="351" r="F74"/>
      <c s="351" r="G74"/>
      <c s="351" r="H74"/>
      <c s="127" r="I74"/>
      <c s="134" r="J74"/>
      <c s="54" r="K74"/>
      <c s="54" r="L74"/>
      <c s="54" r="M74"/>
      <c s="54" r="N74"/>
      <c s="54" r="O74"/>
      <c s="54" r="P74"/>
      <c s="54" r="Q74"/>
      <c s="54" r="R74"/>
      <c s="54" r="S74"/>
      <c s="54" r="T74"/>
      <c s="54" r="U74"/>
      <c s="54" r="V74"/>
      <c s="54" r="W74"/>
      <c s="54" r="X74"/>
      <c s="54" r="Y74"/>
      <c s="54" r="Z74"/>
      <c s="54" r="AA74"/>
      <c s="54" r="AB74"/>
      <c s="54" r="AC74"/>
      <c s="54" r="AD74"/>
      <c s="54" r="AE74"/>
      <c s="54" r="AF74"/>
      <c s="54" r="AG74"/>
      <c s="54" r="AH74"/>
    </row>
    <row r="75">
      <c s="230" r="A75"/>
      <c s="86" r="B75"/>
      <c s="172" r="C75"/>
      <c s="280" r="D75"/>
      <c s="172" r="E75"/>
      <c s="172" r="F75"/>
      <c s="172" r="G75"/>
      <c s="172" r="H75"/>
      <c s="237" r="I75"/>
      <c s="17" r="J75"/>
      <c s="54" r="K75"/>
      <c s="54" r="L75"/>
      <c s="54" r="M75"/>
      <c s="54" r="N75"/>
      <c s="54" r="O75"/>
      <c s="54" r="P75"/>
      <c s="54" r="Q75"/>
      <c s="54" r="R75"/>
      <c s="54" r="S75"/>
      <c s="54" r="T75"/>
      <c s="54" r="U75"/>
      <c s="54" r="V75"/>
      <c s="54" r="W75"/>
      <c s="54" r="X75"/>
      <c s="54" r="Y75"/>
      <c s="54" r="Z75"/>
      <c s="54" r="AA75"/>
      <c s="54" r="AB75"/>
      <c s="54" r="AC75"/>
      <c s="54" r="AD75"/>
      <c s="54" r="AE75"/>
      <c s="54" r="AF75"/>
      <c s="54" r="AG75"/>
      <c s="54" r="AH75"/>
    </row>
    <row r="76">
      <c s="185" r="A76"/>
      <c s="380" r="B76"/>
      <c s="15" r="C76"/>
      <c s="15" r="D76"/>
      <c s="15" r="E76"/>
      <c s="15" r="F76"/>
      <c s="15" r="G76"/>
      <c s="15" r="H76"/>
      <c s="15" r="I76"/>
      <c s="54" r="J76"/>
      <c s="54" r="K76"/>
      <c s="54" r="L76"/>
      <c s="54" r="M76"/>
      <c s="54" r="N76"/>
      <c s="54" r="O76"/>
      <c s="54" r="P76"/>
      <c s="54" r="Q76"/>
      <c s="54" r="R76"/>
      <c s="54" r="S76"/>
      <c s="54" r="T76"/>
      <c s="54" r="U76"/>
      <c s="54" r="V76"/>
      <c s="54" r="W76"/>
      <c s="54" r="X76"/>
      <c s="54" r="Y76"/>
      <c s="54" r="Z76"/>
      <c s="54" r="AA76"/>
      <c s="54" r="AB76"/>
      <c s="54" r="AC76"/>
      <c s="54" r="AD76"/>
      <c s="54" r="AE76"/>
      <c s="54" r="AF76"/>
      <c s="54" r="AG76"/>
      <c s="54" r="AH76"/>
    </row>
    <row r="77">
      <c s="77" r="A77"/>
      <c s="357" r="B77"/>
      <c s="54" r="C77"/>
      <c s="54" r="D77"/>
      <c s="54" r="E77"/>
      <c s="54" r="F77"/>
      <c s="54" r="G77"/>
      <c s="54" r="H77"/>
      <c s="54" r="I77"/>
      <c s="54" r="J77"/>
      <c s="54" r="K77"/>
      <c s="54" r="L77"/>
      <c s="54" r="M77"/>
      <c s="54" r="N77"/>
      <c s="54" r="O77"/>
      <c s="54" r="P77"/>
      <c s="54" r="Q77"/>
      <c s="54" r="R77"/>
      <c s="54" r="S77"/>
      <c s="54" r="T77"/>
      <c s="54" r="U77"/>
      <c s="54" r="V77"/>
      <c s="54" r="W77"/>
      <c s="54" r="X77"/>
      <c s="54" r="Y77"/>
      <c s="54" r="Z77"/>
      <c s="54" r="AA77"/>
      <c s="54" r="AB77"/>
      <c s="54" r="AC77"/>
      <c s="54" r="AD77"/>
      <c s="54" r="AE77"/>
      <c s="54" r="AF77"/>
      <c s="54" r="AG77"/>
      <c s="54" r="AH77"/>
    </row>
    <row r="78">
      <c s="77" r="A78"/>
      <c s="357" r="B78"/>
      <c s="54" r="C78"/>
      <c s="54" r="D78"/>
      <c s="54" r="E78"/>
      <c s="54" r="F78"/>
      <c s="54" r="G78"/>
      <c s="54" r="H78"/>
      <c s="54" r="I78"/>
      <c s="54" r="J78"/>
      <c s="54" r="K78"/>
      <c s="54" r="L78"/>
      <c s="54" r="M78"/>
      <c s="54" r="N78"/>
      <c s="54" r="O78"/>
      <c s="54" r="P78"/>
      <c s="54" r="Q78"/>
      <c s="54" r="R78"/>
      <c s="54" r="S78"/>
      <c s="54" r="T78"/>
      <c s="54" r="U78"/>
      <c s="54" r="V78"/>
      <c s="54" r="W78"/>
      <c s="54" r="X78"/>
      <c s="54" r="Y78"/>
      <c s="54" r="Z78"/>
      <c s="54" r="AA78"/>
      <c s="54" r="AB78"/>
      <c s="54" r="AC78"/>
      <c s="54" r="AD78"/>
      <c s="54" r="AE78"/>
      <c s="54" r="AF78"/>
      <c s="54" r="AG78"/>
      <c s="54" r="AH78"/>
    </row>
    <row r="79">
      <c s="77" r="A79"/>
      <c s="357" r="B79"/>
      <c s="54" r="C79"/>
      <c s="54" r="D79"/>
      <c s="54" r="E79"/>
      <c s="54" r="F79"/>
      <c s="54" r="G79"/>
      <c s="54" r="H79"/>
      <c s="54" r="I79"/>
      <c s="54" r="J79"/>
      <c s="54" r="K79"/>
      <c s="54" r="L79"/>
      <c s="54" r="M79"/>
      <c s="54" r="N79"/>
      <c s="54" r="O79"/>
      <c s="54" r="P79"/>
      <c s="54" r="Q79"/>
      <c s="54" r="R79"/>
      <c s="54" r="S79"/>
      <c s="54" r="T79"/>
      <c s="54" r="U79"/>
      <c s="54" r="V79"/>
      <c s="54" r="W79"/>
      <c s="54" r="X79"/>
      <c s="54" r="Y79"/>
      <c s="54" r="Z79"/>
      <c s="54" r="AA79"/>
      <c s="54" r="AB79"/>
      <c s="54" r="AC79"/>
      <c s="54" r="AD79"/>
      <c s="54" r="AE79"/>
      <c s="54" r="AF79"/>
      <c s="54" r="AG79"/>
      <c s="54" r="AH79"/>
    </row>
    <row r="80">
      <c s="77" r="A80"/>
      <c s="357" r="B80"/>
      <c s="54" r="C80"/>
      <c s="54" r="D80"/>
      <c s="54" r="E80"/>
      <c s="54" r="F80"/>
      <c s="54" r="G80"/>
      <c s="54" r="H80"/>
      <c s="54" r="I80"/>
      <c s="54" r="J80"/>
      <c s="54" r="K80"/>
      <c s="54" r="L80"/>
      <c s="54" r="M80"/>
      <c s="54" r="N80"/>
      <c s="54" r="O80"/>
      <c s="54" r="P80"/>
      <c s="54" r="Q80"/>
      <c s="54" r="R80"/>
      <c s="54" r="S80"/>
      <c s="54" r="T80"/>
      <c s="54" r="U80"/>
      <c s="54" r="V80"/>
      <c s="54" r="W80"/>
      <c s="54" r="X80"/>
      <c s="54" r="Y80"/>
      <c s="54" r="Z80"/>
      <c s="54" r="AA80"/>
      <c s="54" r="AB80"/>
      <c s="54" r="AC80"/>
      <c s="54" r="AD80"/>
      <c s="54" r="AE80"/>
      <c s="54" r="AF80"/>
      <c s="54" r="AG80"/>
      <c s="54" r="AH80"/>
    </row>
    <row r="81">
      <c s="77" r="A81"/>
      <c s="357" r="B81"/>
      <c s="54" r="C81"/>
      <c s="54" r="D81"/>
      <c s="54" r="E81"/>
      <c s="54" r="F81"/>
      <c s="54" r="G81"/>
      <c s="54" r="H81"/>
      <c s="54" r="I81"/>
      <c s="54" r="J81"/>
      <c s="54" r="K81"/>
      <c s="54" r="L81"/>
      <c s="54" r="M81"/>
      <c s="54" r="N81"/>
      <c s="54" r="O81"/>
      <c s="54" r="P81"/>
      <c s="54" r="Q81"/>
      <c s="54" r="R81"/>
      <c s="54" r="S81"/>
      <c s="54" r="T81"/>
      <c s="54" r="U81"/>
      <c s="54" r="V81"/>
      <c s="54" r="W81"/>
      <c s="54" r="X81"/>
      <c s="54" r="Y81"/>
      <c s="54" r="Z81"/>
      <c s="54" r="AA81"/>
      <c s="54" r="AB81"/>
      <c s="54" r="AC81"/>
      <c s="54" r="AD81"/>
      <c s="54" r="AE81"/>
      <c s="54" r="AF81"/>
      <c s="54" r="AG81"/>
      <c s="54" r="AH81"/>
    </row>
    <row r="82">
      <c s="139" r="A82"/>
      <c s="357" r="B82"/>
      <c s="54" r="C82"/>
      <c s="54" r="D82"/>
      <c s="54" r="E82"/>
      <c s="54" r="F82"/>
      <c s="54" r="G82"/>
      <c s="54" r="H82"/>
      <c s="54" r="I82"/>
      <c s="54" r="J82"/>
      <c s="54" r="K82"/>
      <c s="54" r="L82"/>
      <c s="54" r="M82"/>
      <c s="54" r="N82"/>
      <c s="54" r="O82"/>
      <c s="54" r="P82"/>
      <c s="54" r="Q82"/>
      <c s="54" r="R82"/>
      <c s="54" r="S82"/>
      <c s="54" r="T82"/>
      <c s="54" r="U82"/>
      <c s="54" r="V82"/>
      <c s="54" r="W82"/>
      <c s="54" r="X82"/>
      <c s="54" r="Y82"/>
      <c s="54" r="Z82"/>
      <c s="54" r="AA82"/>
      <c s="54" r="AB82"/>
      <c s="54" r="AC82"/>
      <c s="54" r="AD82"/>
      <c s="54" r="AE82"/>
      <c s="54" r="AF82"/>
      <c s="54" r="AG82"/>
      <c s="54" r="AH82"/>
    </row>
    <row r="83">
      <c t="s" s="137" r="A83">
        <v>464</v>
      </c>
      <c s="227" r="B83"/>
      <c s="187" r="C83"/>
      <c s="187" r="D83"/>
      <c s="187" r="E83"/>
      <c s="187" r="F83"/>
      <c s="187" r="G83"/>
      <c s="187" r="H83"/>
      <c s="187" r="I83"/>
      <c s="54" r="J83"/>
      <c s="54" r="K83"/>
      <c s="54" r="L83"/>
      <c s="54" r="M83"/>
      <c s="54" r="N83"/>
      <c s="54" r="O83"/>
      <c s="54" r="P83"/>
      <c s="54" r="Q83"/>
      <c s="54" r="R83"/>
      <c s="54" r="S83"/>
      <c s="54" r="T83"/>
      <c s="54" r="U83"/>
      <c s="54" r="V83"/>
      <c s="54" r="W83"/>
      <c s="54" r="X83"/>
      <c s="54" r="Y83"/>
      <c s="54" r="Z83"/>
      <c s="54" r="AA83"/>
      <c s="54" r="AB83"/>
      <c s="54" r="AC83"/>
      <c s="54" r="AD83"/>
      <c s="54" r="AE83"/>
      <c s="54" r="AF83"/>
      <c s="54" r="AG83"/>
      <c s="54" r="AH83"/>
    </row>
    <row r="84">
      <c s="375" r="A84"/>
      <c s="375" r="B84"/>
      <c s="375" r="C84"/>
      <c s="375" r="D84"/>
      <c s="375" r="E84"/>
      <c s="375" r="F84"/>
      <c s="375" r="G84"/>
      <c s="54" r="H84"/>
      <c s="54" r="I84"/>
      <c s="54" r="J84"/>
      <c s="54" r="K84"/>
      <c s="54" r="L84"/>
      <c s="54" r="M84"/>
      <c s="54" r="N84"/>
      <c s="54" r="O84"/>
      <c s="54" r="P84"/>
      <c s="54" r="Q84"/>
      <c s="54" r="R84"/>
      <c s="54" r="S84"/>
      <c s="54" r="T84"/>
      <c s="54" r="U84"/>
      <c s="54" r="V84"/>
      <c s="54" r="W84"/>
      <c s="54" r="X84"/>
      <c s="54" r="Y84"/>
      <c s="54" r="Z84"/>
      <c s="54" r="AA84"/>
      <c s="54" r="AB84"/>
      <c s="54" r="AC84"/>
      <c s="54" r="AD84"/>
      <c s="54" r="AE84"/>
      <c s="54" r="AF84"/>
      <c s="54" r="AG84"/>
      <c s="54" r="AH84"/>
    </row>
    <row r="85">
      <c t="s" s="37" r="A85">
        <v>149</v>
      </c>
      <c s="362" r="B85"/>
      <c s="362" r="C85"/>
      <c s="362" r="D85"/>
      <c s="362" r="E85"/>
      <c s="362" r="F85"/>
      <c s="437" r="G85"/>
      <c s="113" r="H85"/>
      <c s="307" r="I85"/>
      <c s="54" r="J85"/>
      <c s="54" r="K85"/>
      <c s="54" r="L85"/>
      <c s="54" r="M85"/>
      <c s="54" r="N85"/>
      <c s="54" r="O85"/>
      <c s="54" r="P85"/>
      <c s="54" r="Q85"/>
      <c s="54" r="R85"/>
      <c s="54" r="S85"/>
      <c s="54" r="T85"/>
      <c s="54" r="U85"/>
      <c s="54" r="V85"/>
      <c s="54" r="W85"/>
      <c s="54" r="X85"/>
      <c s="54" r="Y85"/>
      <c s="54" r="Z85"/>
      <c s="54" r="AA85"/>
      <c s="54" r="AB85"/>
      <c s="54" r="AC85"/>
      <c s="54" r="AD85"/>
      <c s="54" r="AE85"/>
      <c s="54" r="AF85"/>
      <c s="54" r="AG85"/>
      <c s="54" r="AH85"/>
    </row>
    <row r="86">
      <c t="s" s="171" r="A86">
        <v>465</v>
      </c>
      <c t="s" s="336" r="B86">
        <v>466</v>
      </c>
      <c t="s" s="336" r="C86">
        <v>467</v>
      </c>
      <c t="s" s="336" r="D86">
        <v>468</v>
      </c>
      <c t="s" s="336" r="E86">
        <v>469</v>
      </c>
      <c t="s" s="336" r="F86">
        <v>344</v>
      </c>
      <c t="s" s="83" r="G86">
        <v>470</v>
      </c>
      <c t="s" s="404" r="H86">
        <v>471</v>
      </c>
      <c t="s" s="404" r="I86">
        <v>472</v>
      </c>
      <c s="132" r="J86"/>
      <c s="54" r="K86"/>
      <c s="54" r="L86"/>
      <c s="54" r="M86"/>
      <c s="54" r="N86"/>
      <c s="54" r="O86"/>
      <c s="54" r="P86"/>
      <c s="54" r="Q86"/>
      <c s="54" r="R86"/>
      <c s="54" r="S86"/>
      <c s="54" r="T86"/>
      <c s="54" r="U86"/>
      <c s="54" r="V86"/>
      <c s="54" r="W86"/>
      <c s="54" r="X86"/>
      <c s="54" r="Y86"/>
      <c s="54" r="Z86"/>
      <c s="54" r="AA86"/>
      <c s="54" r="AB86"/>
      <c s="54" r="AC86"/>
      <c s="54" r="AD86"/>
      <c s="54" r="AE86"/>
      <c s="54" r="AF86"/>
      <c s="54" r="AG86"/>
      <c s="54" r="AH86"/>
    </row>
    <row r="87">
      <c t="str" s="343" r="A87">
        <f>IF((D43=""), "", D43)</f>
        <v>Medium Instance Type</v>
      </c>
      <c s="288" r="B87">
        <f>CalculatorDetails!B43</f>
        <v>0.623</v>
      </c>
      <c s="328" r="C87">
        <f>compute_discount</f>
        <v>0.4</v>
      </c>
      <c s="335" r="D87">
        <f>D44</f>
        <v>2</v>
      </c>
      <c s="35" r="E87">
        <f>(D87*B87)*((100/100)-C87)</f>
        <v>0.7476</v>
      </c>
      <c s="328" r="F87">
        <f>storage_active_rate</f>
        <v>0.5</v>
      </c>
      <c s="303" r="G87">
        <f>((E87*720)*12)*F87</f>
        <v>3229.632</v>
      </c>
      <c s="326" r="H87">
        <f>G87</f>
        <v>3229.632</v>
      </c>
      <c s="35" r="I87">
        <f>G87</f>
        <v>3229.632</v>
      </c>
      <c s="54" r="J87"/>
      <c s="54" r="K87"/>
      <c s="54" r="L87"/>
      <c s="54" r="M87"/>
      <c s="54" r="N87"/>
      <c s="54" r="O87"/>
      <c s="54" r="P87"/>
      <c s="54" r="Q87"/>
      <c s="54" r="R87"/>
      <c s="54" r="S87"/>
      <c s="54" r="T87"/>
      <c s="54" r="U87"/>
      <c s="54" r="V87"/>
      <c s="54" r="W87"/>
      <c s="54" r="X87"/>
      <c s="54" r="Y87"/>
      <c s="54" r="Z87"/>
      <c s="54" r="AA87"/>
      <c s="54" r="AB87"/>
      <c s="54" r="AC87"/>
      <c s="54" r="AD87"/>
      <c s="54" r="AE87"/>
      <c s="54" r="AF87"/>
      <c s="54" r="AG87"/>
      <c s="54" r="AH87"/>
    </row>
    <row r="88">
      <c t="str" s="370" r="A88">
        <f>IF((D47=""), "", D47)</f>
        <v>High Storage 8x Large Instance Type</v>
      </c>
      <c s="149" r="B88">
        <f>CalculatorDetails!B44</f>
        <v>14.6125</v>
      </c>
      <c s="238" r="C88">
        <f>compute_discount</f>
        <v>0.4</v>
      </c>
      <c s="350" r="D88">
        <f>D48</f>
        <v>3</v>
      </c>
      <c s="95" r="E88">
        <f>(D88*B88)*((100/100)-C88)</f>
        <v>26.3025</v>
      </c>
      <c s="238" r="F88">
        <f>storage_active_rate</f>
        <v>0.5</v>
      </c>
      <c s="43" r="G88">
        <f>((E88*720)*12)*F88</f>
        <v>113626.8</v>
      </c>
      <c s="337" r="H88">
        <f>G88</f>
        <v>113626.8</v>
      </c>
      <c s="95" r="I88">
        <f>G88</f>
        <v>113626.8</v>
      </c>
      <c s="54" r="J88"/>
      <c s="54" r="K88"/>
      <c s="54" r="L88"/>
      <c s="54" r="M88"/>
      <c s="54" r="N88"/>
      <c s="54" r="O88"/>
      <c s="54" r="P88"/>
      <c s="54" r="Q88"/>
      <c s="54" r="R88"/>
      <c s="54" r="S88"/>
      <c s="54" r="T88"/>
      <c s="54" r="U88"/>
      <c s="54" r="V88"/>
      <c s="54" r="W88"/>
      <c s="54" r="X88"/>
      <c s="54" r="Y88"/>
      <c s="54" r="Z88"/>
      <c s="54" r="AA88"/>
      <c s="54" r="AB88"/>
      <c s="54" r="AC88"/>
      <c s="54" r="AD88"/>
      <c s="54" r="AE88"/>
      <c s="54" r="AF88"/>
      <c s="54" r="AG88"/>
      <c s="54" r="AH88"/>
    </row>
    <row r="89">
      <c t="str" s="370" r="A89">
        <f>IF((D51=""), "", D51)</f>
        <v/>
      </c>
      <c s="149" r="B89">
        <f>CalculatorDetails!B45</f>
        <v>0</v>
      </c>
      <c s="238" r="C89">
        <f>compute_discount</f>
        <v>0.4</v>
      </c>
      <c t="str" s="350" r="D89">
        <f>D52</f>
        <v/>
      </c>
      <c s="95" r="E89">
        <f>(D89*B89)*((100/100)-C89)</f>
        <v>0</v>
      </c>
      <c s="238" r="F89">
        <f>storage_active_rate</f>
        <v>0.5</v>
      </c>
      <c s="43" r="G89">
        <f>((E89*720)*12)*F89</f>
        <v>0</v>
      </c>
      <c s="337" r="H89">
        <f>G89</f>
        <v>0</v>
      </c>
      <c s="95" r="I89">
        <f>G89</f>
        <v>0</v>
      </c>
      <c s="54" r="J89"/>
      <c s="54" r="K89"/>
      <c s="54" r="L89"/>
      <c s="54" r="M89"/>
      <c s="54" r="N89"/>
      <c s="54" r="O89"/>
      <c s="54" r="P89"/>
      <c s="54" r="Q89"/>
      <c s="54" r="R89"/>
      <c s="54" r="S89"/>
      <c s="54" r="T89"/>
      <c s="54" r="U89"/>
      <c s="54" r="V89"/>
      <c s="54" r="W89"/>
      <c s="54" r="X89"/>
      <c s="54" r="Y89"/>
      <c s="54" r="Z89"/>
      <c s="54" r="AA89"/>
      <c s="54" r="AB89"/>
      <c s="54" r="AC89"/>
      <c s="54" r="AD89"/>
      <c s="54" r="AE89"/>
      <c s="54" r="AF89"/>
      <c s="54" r="AG89"/>
      <c s="54" r="AH89"/>
    </row>
    <row r="90">
      <c t="str" s="370" r="A90">
        <f>IF((D55=""), "", D55)</f>
        <v/>
      </c>
      <c s="149" r="B90">
        <f>CalculatorDetails!B46</f>
        <v>0</v>
      </c>
      <c s="238" r="C90">
        <f>compute_discount</f>
        <v>0.4</v>
      </c>
      <c t="str" s="350" r="D90">
        <f>D56</f>
        <v/>
      </c>
      <c s="95" r="E90">
        <f>(D90*B90)*((100/100)-C90)</f>
        <v>0</v>
      </c>
      <c s="238" r="F90">
        <f>storage_active_rate</f>
        <v>0.5</v>
      </c>
      <c s="43" r="G90">
        <f>((E90*720)*12)*F90</f>
        <v>0</v>
      </c>
      <c s="337" r="H90">
        <f>G90</f>
        <v>0</v>
      </c>
      <c s="95" r="I90">
        <f>G90</f>
        <v>0</v>
      </c>
      <c s="54" r="J90"/>
      <c s="54" r="K90"/>
      <c s="54" r="L90"/>
      <c s="54" r="M90"/>
      <c s="54" r="N90"/>
      <c s="54" r="O90"/>
      <c s="54" r="P90"/>
      <c s="54" r="Q90"/>
      <c s="54" r="R90"/>
      <c s="54" r="S90"/>
      <c s="54" r="T90"/>
      <c s="54" r="U90"/>
      <c s="54" r="V90"/>
      <c s="54" r="W90"/>
      <c s="54" r="X90"/>
      <c s="54" r="Y90"/>
      <c s="54" r="Z90"/>
      <c s="54" r="AA90"/>
      <c s="54" r="AB90"/>
      <c s="54" r="AC90"/>
      <c s="54" r="AD90"/>
      <c s="54" r="AE90"/>
      <c s="54" r="AF90"/>
      <c s="54" r="AG90"/>
      <c s="54" r="AH90"/>
    </row>
    <row r="91">
      <c t="str" s="370" r="A91">
        <f>IF((D59=""), "", D59)</f>
        <v/>
      </c>
      <c s="149" r="B91">
        <f>CalculatorDetails!B47</f>
        <v>0</v>
      </c>
      <c s="238" r="C91">
        <f>compute_discount</f>
        <v>0.4</v>
      </c>
      <c t="str" s="350" r="D91">
        <f>D60</f>
        <v/>
      </c>
      <c s="95" r="E91">
        <f>(D91*B91)*((100/100)-C91)</f>
        <v>0</v>
      </c>
      <c s="238" r="F91">
        <f>storage_active_rate</f>
        <v>0.5</v>
      </c>
      <c s="43" r="G91">
        <f>((E91*720)*12)*F91</f>
        <v>0</v>
      </c>
      <c s="337" r="H91">
        <f>G91</f>
        <v>0</v>
      </c>
      <c s="95" r="I91">
        <f>G91</f>
        <v>0</v>
      </c>
      <c s="54" r="J91"/>
      <c s="54" r="K91"/>
      <c s="54" r="L91"/>
      <c s="54" r="M91"/>
      <c s="54" r="N91"/>
      <c s="54" r="O91"/>
      <c s="54" r="P91"/>
      <c s="54" r="Q91"/>
      <c s="54" r="R91"/>
      <c s="54" r="S91"/>
      <c s="54" r="T91"/>
      <c s="54" r="U91"/>
      <c s="54" r="V91"/>
      <c s="54" r="W91"/>
      <c s="54" r="X91"/>
      <c s="54" r="Y91"/>
      <c s="54" r="Z91"/>
      <c s="54" r="AA91"/>
      <c s="54" r="AB91"/>
      <c s="54" r="AC91"/>
      <c s="54" r="AD91"/>
      <c s="54" r="AE91"/>
      <c s="54" r="AF91"/>
      <c s="54" r="AG91"/>
      <c s="54" r="AH91"/>
    </row>
    <row r="92">
      <c s="377" r="A92"/>
      <c s="365" r="B92"/>
      <c s="365" r="C92"/>
      <c s="365" r="D92"/>
      <c s="67" r="E92"/>
      <c s="365" r="F92"/>
      <c s="126" r="G92"/>
      <c s="98" r="H92"/>
      <c s="123" r="I92"/>
      <c s="54" r="J92"/>
      <c s="54" r="K92"/>
      <c s="54" r="L92"/>
      <c s="54" r="M92"/>
      <c s="54" r="N92"/>
      <c s="54" r="O92"/>
      <c s="54" r="P92"/>
      <c s="54" r="Q92"/>
      <c s="54" r="R92"/>
      <c s="54" r="S92"/>
      <c s="54" r="T92"/>
      <c s="54" r="U92"/>
      <c s="54" r="V92"/>
      <c s="54" r="W92"/>
      <c s="54" r="X92"/>
      <c s="54" r="Y92"/>
      <c s="54" r="Z92"/>
      <c s="54" r="AA92"/>
      <c s="54" r="AB92"/>
      <c s="54" r="AC92"/>
      <c s="54" r="AD92"/>
      <c s="54" r="AE92"/>
      <c s="54" r="AF92"/>
      <c s="54" r="AG92"/>
      <c s="54" r="AH92"/>
    </row>
    <row r="93">
      <c t="s" s="347" r="A93">
        <v>473</v>
      </c>
      <c s="118" r="B93"/>
      <c s="118" r="C93"/>
      <c s="118" r="D93"/>
      <c s="76" r="E93"/>
      <c s="118" r="F93"/>
      <c s="108" r="G93">
        <f>SUM(G87:G91)</f>
        <v>116856.432</v>
      </c>
      <c s="296" r="H93">
        <f>G93</f>
        <v>116856.432</v>
      </c>
      <c s="248" r="I93">
        <f>G93</f>
        <v>116856.432</v>
      </c>
      <c s="54" r="J93"/>
      <c s="54" r="K93"/>
      <c s="54" r="L93"/>
      <c s="54" r="M93"/>
      <c s="54" r="N93"/>
      <c s="54" r="O93"/>
      <c s="54" r="P93"/>
      <c s="54" r="Q93"/>
      <c s="54" r="R93"/>
      <c s="54" r="S93"/>
      <c s="54" r="T93"/>
      <c s="54" r="U93"/>
      <c s="54" r="V93"/>
      <c s="54" r="W93"/>
      <c s="54" r="X93"/>
      <c s="54" r="Y93"/>
      <c s="54" r="Z93"/>
      <c s="54" r="AA93"/>
      <c s="54" r="AB93"/>
      <c s="54" r="AC93"/>
      <c s="54" r="AD93"/>
      <c s="54" r="AE93"/>
      <c s="54" r="AF93"/>
      <c s="54" r="AG93"/>
      <c s="54" r="AH93"/>
    </row>
    <row r="94">
      <c s="68" r="A94"/>
      <c s="68" r="B94"/>
      <c s="68" r="C94"/>
      <c s="68" r="D94"/>
      <c s="199" r="E94"/>
      <c s="68" r="F94"/>
      <c s="68" r="G94"/>
      <c s="54" r="H94"/>
      <c s="54" r="I94"/>
      <c s="54" r="J94"/>
      <c s="54" r="K94"/>
      <c s="54" r="L94"/>
      <c s="54" r="M94"/>
      <c s="54" r="N94"/>
      <c s="54" r="O94"/>
      <c s="54" r="P94"/>
      <c s="54" r="Q94"/>
      <c s="54" r="R94"/>
      <c s="54" r="S94"/>
      <c s="54" r="T94"/>
      <c s="54" r="U94"/>
      <c s="54" r="V94"/>
      <c s="54" r="W94"/>
      <c s="54" r="X94"/>
      <c s="54" r="Y94"/>
      <c s="54" r="Z94"/>
      <c s="54" r="AA94"/>
      <c s="54" r="AB94"/>
      <c s="54" r="AC94"/>
      <c s="54" r="AD94"/>
      <c s="54" r="AE94"/>
      <c s="54" r="AF94"/>
      <c s="54" r="AG94"/>
      <c s="54" r="AH94"/>
    </row>
    <row r="95">
      <c s="54" r="A95"/>
      <c s="54" r="B95"/>
      <c s="54" r="C95"/>
      <c s="54" r="D95"/>
      <c s="123" r="E95"/>
      <c s="54" r="F95"/>
      <c s="54" r="G95"/>
      <c s="54" r="H95"/>
      <c s="54" r="I95"/>
      <c s="375" r="J95"/>
      <c s="375" r="K95"/>
      <c s="54" r="L95"/>
      <c s="54" r="M95"/>
      <c s="54" r="N95"/>
      <c s="54" r="O95"/>
      <c s="54" r="P95"/>
      <c s="54" r="Q95"/>
      <c s="54" r="R95"/>
      <c s="54" r="S95"/>
      <c s="54" r="T95"/>
      <c s="54" r="U95"/>
      <c s="54" r="V95"/>
      <c s="54" r="W95"/>
      <c s="54" r="X95"/>
      <c s="54" r="Y95"/>
      <c s="54" r="Z95"/>
      <c s="54" r="AA95"/>
      <c s="54" r="AB95"/>
      <c s="54" r="AC95"/>
      <c s="54" r="AD95"/>
      <c s="54" r="AE95"/>
      <c s="54" r="AF95"/>
      <c s="54" r="AG95"/>
      <c s="54" r="AH95"/>
    </row>
    <row r="96">
      <c s="375" r="A96"/>
      <c s="375" r="B96"/>
      <c s="375" r="C96"/>
      <c s="375" r="D96"/>
      <c s="375" r="E96"/>
      <c s="375" r="F96"/>
      <c s="375" r="G96"/>
      <c s="375" r="H96"/>
      <c s="213" r="I96"/>
      <c t="s" s="51" r="J96">
        <v>474</v>
      </c>
      <c s="102" r="K96"/>
      <c s="132" r="L96"/>
      <c s="54" r="M96"/>
      <c s="54" r="N96"/>
      <c s="54" r="O96"/>
      <c s="54" r="P96"/>
      <c s="54" r="Q96"/>
      <c s="54" r="R96"/>
      <c s="54" r="S96"/>
      <c s="54" r="T96"/>
      <c s="54" r="U96"/>
      <c s="54" r="V96"/>
      <c s="54" r="W96"/>
      <c s="54" r="X96"/>
      <c s="54" r="Y96"/>
      <c s="54" r="Z96"/>
      <c s="54" r="AA96"/>
      <c s="54" r="AB96"/>
      <c s="54" r="AC96"/>
      <c s="54" r="AD96"/>
      <c s="54" r="AE96"/>
      <c s="54" r="AF96"/>
      <c s="54" r="AG96"/>
      <c s="54" r="AH96"/>
    </row>
    <row r="97">
      <c t="s" s="37" r="A97">
        <v>475</v>
      </c>
      <c s="362" r="B97"/>
      <c s="362" r="C97"/>
      <c s="362" r="D97"/>
      <c s="362" r="E97"/>
      <c s="362" r="F97"/>
      <c s="437" r="G97"/>
      <c s="37" r="H97"/>
      <c s="437" r="I97"/>
      <c t="s" s="319" r="J97">
        <v>476</v>
      </c>
      <c t="s" s="141" r="K97">
        <v>477</v>
      </c>
      <c s="132" r="L97"/>
      <c s="54" r="M97"/>
      <c s="54" r="N97"/>
      <c s="54" r="O97"/>
      <c s="54" r="P97"/>
      <c s="54" r="Q97"/>
      <c s="54" r="R97"/>
      <c s="54" r="S97"/>
      <c s="54" r="T97"/>
      <c s="54" r="U97"/>
      <c s="54" r="V97"/>
      <c s="54" r="W97"/>
      <c s="54" r="X97"/>
      <c s="54" r="Y97"/>
      <c s="54" r="Z97"/>
      <c s="54" r="AA97"/>
      <c s="54" r="AB97"/>
      <c s="54" r="AC97"/>
      <c s="54" r="AD97"/>
      <c s="54" r="AE97"/>
      <c s="54" r="AF97"/>
      <c s="54" r="AG97"/>
      <c s="54" r="AH97"/>
    </row>
    <row r="98">
      <c t="s" s="171" r="A98">
        <v>465</v>
      </c>
      <c t="s" s="336" r="B98">
        <v>478</v>
      </c>
      <c t="s" s="336" r="C98">
        <v>479</v>
      </c>
      <c t="s" s="336" r="D98">
        <v>468</v>
      </c>
      <c t="s" s="336" r="E98">
        <v>480</v>
      </c>
      <c t="s" s="336" r="F98">
        <v>344</v>
      </c>
      <c t="s" s="83" r="G98">
        <v>470</v>
      </c>
      <c t="s" s="404" r="H98">
        <v>471</v>
      </c>
      <c t="s" s="404" r="I98">
        <v>472</v>
      </c>
      <c t="s" s="171" r="J98">
        <v>481</v>
      </c>
      <c t="s" s="88" r="K98">
        <v>481</v>
      </c>
      <c s="132" r="L98"/>
      <c s="54" r="M98"/>
      <c s="54" r="N98"/>
      <c s="54" r="O98"/>
      <c s="54" r="P98"/>
      <c s="54" r="Q98"/>
      <c s="54" r="R98"/>
      <c s="54" r="S98"/>
      <c s="54" r="T98"/>
      <c s="54" r="U98"/>
      <c s="54" r="V98"/>
      <c s="54" r="W98"/>
      <c s="54" r="X98"/>
      <c s="54" r="Y98"/>
      <c s="54" r="Z98"/>
      <c s="54" r="AA98"/>
      <c s="54" r="AB98"/>
      <c s="54" r="AC98"/>
      <c s="54" r="AD98"/>
      <c s="54" r="AE98"/>
      <c s="54" r="AF98"/>
      <c s="54" r="AG98"/>
      <c s="54" r="AH98"/>
    </row>
    <row r="99">
      <c t="s" s="343" r="A99">
        <v>482</v>
      </c>
      <c s="24" r="B99">
        <f>'Unit Prices'!I101</f>
        <v>0.5</v>
      </c>
      <c s="328" r="C99">
        <f>storage_discount</f>
        <v>0.75</v>
      </c>
      <c s="335" r="D99">
        <f>IF((term_variable=0), storage_capacity_beginning, CONCATENATE("From ", storage_capacity_beginning, " to ", storage_capacity_end))</f>
        <v>2000</v>
      </c>
      <c s="35" r="E99">
        <f>IF((term_variable=0), ((storage_capacity_beginning*storage_price_perGB_perMonth)*(1-storage_discount)), CONCATENATE("From $", CalculatorDetails!B69, " to $", CalculatorDetails!M69))</f>
        <v>250</v>
      </c>
      <c s="328" r="F99">
        <f>storage_active_rate</f>
        <v>0.5</v>
      </c>
      <c s="303" r="G99">
        <f>CalculatorDetails!B79</f>
        <v>1500</v>
      </c>
      <c s="186" r="H99">
        <f>CalculatorDetails!C79</f>
        <v>1500</v>
      </c>
      <c s="186" r="I99">
        <f>CalculatorDetails!D79</f>
        <v>1500</v>
      </c>
      <c s="326" r="J99">
        <f>IF((term_variable=0),( storage_capacity_beginning*2.5),( AVERAGE(storage_capacity_beginning, storage_capacity_end)*2.5))</f>
        <v>5000</v>
      </c>
      <c s="303" r="K99"/>
      <c s="132" r="L99"/>
      <c s="54" r="M99"/>
      <c s="54" r="N99"/>
      <c s="54" r="O99"/>
      <c s="54" r="P99"/>
      <c s="54" r="Q99"/>
      <c s="54" r="R99"/>
      <c s="54" r="S99"/>
      <c s="54" r="T99"/>
      <c s="54" r="U99"/>
      <c s="54" r="V99"/>
      <c s="54" r="W99"/>
      <c s="54" r="X99"/>
      <c s="54" r="Y99"/>
      <c s="54" r="Z99"/>
      <c s="54" r="AA99"/>
      <c s="54" r="AB99"/>
      <c s="54" r="AC99"/>
      <c s="54" r="AD99"/>
      <c s="54" r="AE99"/>
      <c s="54" r="AF99"/>
      <c s="54" r="AG99"/>
      <c s="54" r="AH99"/>
    </row>
    <row r="100">
      <c t="s" s="370" r="A100">
        <v>483</v>
      </c>
      <c s="117" r="B100">
        <f>'Unit Prices'!I102</f>
        <v>0.4</v>
      </c>
      <c s="238" r="C100">
        <f>storage_discount</f>
        <v>0.75</v>
      </c>
      <c s="350" r="D100">
        <f>D27</f>
        <v>1000</v>
      </c>
      <c s="95" r="E100">
        <f>(D100*B100)*((100/100)-C100)</f>
        <v>100</v>
      </c>
      <c s="238" r="F100">
        <f>storage_active_rate</f>
        <v>0.5</v>
      </c>
      <c s="43" r="G100">
        <f>CalculatorDetails!B80</f>
        <v>670.604486406363</v>
      </c>
      <c s="433" r="H100">
        <f>CalculatorDetails!C80</f>
        <v>850.4886372817</v>
      </c>
      <c s="433" r="I100">
        <f>CalculatorDetails!D80</f>
        <v>1078.6252356012</v>
      </c>
      <c t="s" s="370" r="J100">
        <v>392</v>
      </c>
      <c s="43" r="K100"/>
      <c s="132" r="L100"/>
      <c s="54" r="M100"/>
      <c s="54" r="N100"/>
      <c s="54" r="O100"/>
      <c s="54" r="P100"/>
      <c s="54" r="Q100"/>
      <c s="54" r="R100"/>
      <c s="54" r="S100"/>
      <c s="54" r="T100"/>
      <c s="54" r="U100"/>
      <c s="54" r="V100"/>
      <c s="54" r="W100"/>
      <c s="54" r="X100"/>
      <c s="54" r="Y100"/>
      <c s="54" r="Z100"/>
      <c s="54" r="AA100"/>
      <c s="54" r="AB100"/>
      <c s="54" r="AC100"/>
      <c s="54" r="AD100"/>
      <c s="54" r="AE100"/>
      <c s="54" r="AF100"/>
      <c s="54" r="AG100"/>
      <c s="54" r="AH100"/>
    </row>
    <row r="101">
      <c t="str" s="370" r="A101">
        <f>CONCATENATE(D33, "                      (priced on % of Storage + IOPS)")</f>
        <v>TIER 2 Response Time Tier                      (priced on % of Storage + IOPS)</v>
      </c>
      <c s="202" r="B101">
        <f>IF(ISNA(VLOOKUP(D33, CalculatorDetails!A26:B28, 2, FALSE)), 0, VLOOKUP(D33, CalculatorDetails!A26:B28, 2, FALSE))</f>
        <v>0.5</v>
      </c>
      <c s="202" r="C101"/>
      <c t="s" s="351" r="D101">
        <v>484</v>
      </c>
      <c s="95" r="E101">
        <f>IF((term_variable=0),( (E99+E100)*(B101)), CONCATENATE("From $", CalculatorDetails!B71, " to $", CalculatorDetails!M71))</f>
        <v>175</v>
      </c>
      <c s="238" r="F101">
        <f>storage_active_rate</f>
        <v>0.5</v>
      </c>
      <c s="43" r="G101">
        <f>CalculatorDetails!B81</f>
        <v>1085.30224320318</v>
      </c>
      <c s="433" r="H101">
        <f>CalculatorDetails!C81</f>
        <v>1175.24431864085</v>
      </c>
      <c s="433" r="I101">
        <f>CalculatorDetails!D81</f>
        <v>1289.3126178006</v>
      </c>
      <c t="s" s="370" r="J101">
        <v>392</v>
      </c>
      <c s="43" r="K101">
        <f>G101</f>
        <v>1085.30224320318</v>
      </c>
      <c s="132" r="L101"/>
      <c s="54" r="M101"/>
      <c s="54" r="N101"/>
      <c s="54" r="O101"/>
      <c s="54" r="P101"/>
      <c s="54" r="Q101"/>
      <c s="54" r="R101"/>
      <c s="54" r="S101"/>
      <c s="54" r="T101"/>
      <c s="54" r="U101"/>
      <c s="54" r="V101"/>
      <c s="54" r="W101"/>
      <c s="54" r="X101"/>
      <c s="54" r="Y101"/>
      <c s="54" r="Z101"/>
      <c s="54" r="AA101"/>
      <c s="54" r="AB101"/>
      <c s="54" r="AC101"/>
      <c s="54" r="AD101"/>
      <c s="54" r="AE101"/>
      <c s="54" r="AF101"/>
      <c s="54" r="AG101"/>
      <c s="54" r="AH101"/>
    </row>
    <row r="102">
      <c t="s" s="370" r="A102">
        <v>485</v>
      </c>
      <c s="202" r="B102">
        <f>CalculatorDetails!B31</f>
        <v>0.25</v>
      </c>
      <c s="202" r="C102"/>
      <c t="s" s="351" r="D102">
        <v>484</v>
      </c>
      <c s="95" r="E102"/>
      <c s="238" r="F102"/>
      <c s="43" r="G102">
        <f>CalculatorDetails!B82</f>
        <v>813.976682402386</v>
      </c>
      <c s="433" r="H102">
        <f>CalculatorDetails!C82</f>
        <v>881.433238980638</v>
      </c>
      <c s="433" r="I102">
        <f>CalculatorDetails!D82</f>
        <v>966.984463350449</v>
      </c>
      <c t="s" s="370" r="J102">
        <v>392</v>
      </c>
      <c t="s" s="356" r="K102">
        <v>392</v>
      </c>
      <c s="132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54" r="W102"/>
      <c s="54" r="X102"/>
      <c s="54" r="Y102"/>
      <c s="54" r="Z102"/>
      <c s="54" r="AA102"/>
      <c s="54" r="AB102"/>
      <c s="54" r="AC102"/>
      <c s="54" r="AD102"/>
      <c s="54" r="AE102"/>
      <c s="54" r="AF102"/>
      <c s="54" r="AG102"/>
      <c s="54" r="AH102"/>
    </row>
    <row r="103">
      <c t="s" s="403" r="A103">
        <v>486</v>
      </c>
      <c s="202" r="B103"/>
      <c s="202" r="C103"/>
      <c s="351" r="D103"/>
      <c s="95" r="E103"/>
      <c s="238" r="F103"/>
      <c s="276" r="G103">
        <f>CalculatorDetails!B83</f>
        <v>4069.88341201193</v>
      </c>
      <c s="299" r="H103">
        <f>CalculatorDetails!C83</f>
        <v>4407.16619490319</v>
      </c>
      <c s="299" r="I103">
        <f>CalculatorDetails!D83</f>
        <v>4834.92231675224</v>
      </c>
      <c s="370" r="J103"/>
      <c s="356" r="K103"/>
      <c s="132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54" r="Y103"/>
      <c s="54" r="Z103"/>
      <c s="54" r="AA103"/>
      <c s="54" r="AB103"/>
      <c s="54" r="AC103"/>
      <c s="54" r="AD103"/>
      <c s="54" r="AE103"/>
      <c s="54" r="AF103"/>
      <c s="54" r="AG103"/>
      <c s="54" r="AH103"/>
    </row>
    <row r="104">
      <c t="s" s="370" r="A104">
        <v>487</v>
      </c>
      <c s="117" r="B104">
        <f>B99</f>
        <v>0.5</v>
      </c>
      <c s="238" r="C104">
        <f>storage_discount</f>
        <v>0.75</v>
      </c>
      <c s="149" r="D104">
        <f>D99</f>
        <v>2000</v>
      </c>
      <c s="95" r="E104"/>
      <c s="238" r="F104">
        <f>(100/100)-storage_active_rate</f>
        <v>0.5</v>
      </c>
      <c s="43" r="G104">
        <f>CalculatorDetails!B85</f>
        <v>1500</v>
      </c>
      <c s="433" r="H104">
        <f>CalculatorDetails!C85</f>
        <v>1500</v>
      </c>
      <c s="433" r="I104">
        <f>CalculatorDetails!D85</f>
        <v>1500</v>
      </c>
      <c s="370" r="J104"/>
      <c s="43" r="K104">
        <f>G104</f>
        <v>1500</v>
      </c>
      <c s="132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54" r="Y104"/>
      <c s="54" r="Z104"/>
      <c s="54" r="AA104"/>
      <c s="54" r="AB104"/>
      <c s="54" r="AC104"/>
      <c s="54" r="AD104"/>
      <c s="54" r="AE104"/>
      <c s="54" r="AF104"/>
      <c s="54" r="AG104"/>
      <c s="54" r="AH104"/>
    </row>
    <row r="105">
      <c t="s" s="370" r="A105">
        <v>485</v>
      </c>
      <c s="202" r="B105">
        <f>encryption_adder_percent</f>
        <v>0.25</v>
      </c>
      <c s="202" r="C105"/>
      <c s="351" r="D105"/>
      <c s="95" r="E105"/>
      <c s="238" r="F105"/>
      <c s="43" r="G105">
        <f>CalculatorDetails!B86</f>
        <v>375</v>
      </c>
      <c s="433" r="H105">
        <f>CalculatorDetails!C86</f>
        <v>375</v>
      </c>
      <c s="433" r="I105">
        <f>CalculatorDetails!D86</f>
        <v>375</v>
      </c>
      <c s="370" r="J105"/>
      <c s="43" r="K105"/>
      <c s="132" r="L105"/>
      <c s="54" r="M105"/>
      <c s="54" r="N105"/>
      <c s="54" r="O105"/>
      <c s="54" r="P105"/>
      <c s="54" r="Q105"/>
      <c s="54" r="R105"/>
      <c s="54" r="S105"/>
      <c s="54" r="T105"/>
      <c s="54" r="U105"/>
      <c s="54" r="V105"/>
      <c s="54" r="W105"/>
      <c s="54" r="X105"/>
      <c s="54" r="Y105"/>
      <c s="54" r="Z105"/>
      <c s="54" r="AA105"/>
      <c s="54" r="AB105"/>
      <c s="54" r="AC105"/>
      <c s="54" r="AD105"/>
      <c s="54" r="AE105"/>
      <c s="54" r="AF105"/>
      <c s="54" r="AG105"/>
      <c s="54" r="AH105"/>
    </row>
    <row r="106">
      <c t="s" s="403" r="A106">
        <v>488</v>
      </c>
      <c s="202" r="B106"/>
      <c s="202" r="C106"/>
      <c s="351" r="D106"/>
      <c s="95" r="E106"/>
      <c s="238" r="F106"/>
      <c s="276" r="G106">
        <f>CalculatorDetails!B87</f>
        <v>1875</v>
      </c>
      <c s="299" r="H106">
        <f>CalculatorDetails!C87</f>
        <v>1875</v>
      </c>
      <c s="299" r="I106">
        <f>CalculatorDetails!D87</f>
        <v>1875</v>
      </c>
      <c s="370" r="J106"/>
      <c s="43" r="K106"/>
      <c s="132" r="L106"/>
      <c s="54" r="M106"/>
      <c s="54" r="N106"/>
      <c s="54" r="O106"/>
      <c s="54" r="P106"/>
      <c s="54" r="Q106"/>
      <c s="54" r="R106"/>
      <c s="54" r="S106"/>
      <c s="54" r="T106"/>
      <c s="54" r="U106"/>
      <c s="54" r="V106"/>
      <c s="54" r="W106"/>
      <c s="54" r="X106"/>
      <c s="54" r="Y106"/>
      <c s="54" r="Z106"/>
      <c s="54" r="AA106"/>
      <c s="54" r="AB106"/>
      <c s="54" r="AC106"/>
      <c s="54" r="AD106"/>
      <c s="54" r="AE106"/>
      <c s="54" r="AF106"/>
      <c s="54" r="AG106"/>
      <c s="54" r="AH106"/>
    </row>
    <row r="107">
      <c t="s" s="370" r="A107">
        <v>489</v>
      </c>
      <c s="292" r="B107">
        <f>'Unit Prices'!I103</f>
        <v>0.5</v>
      </c>
      <c s="238" r="C107">
        <f>storage_discount</f>
        <v>0.75</v>
      </c>
      <c s="149" r="D107">
        <f>D99</f>
        <v>2000</v>
      </c>
      <c s="95" r="E107"/>
      <c s="238" r="F107">
        <f>snapshots_active_rate</f>
        <v>0.75</v>
      </c>
      <c s="43" r="G107">
        <f>CalculatorDetails!B89</f>
        <v>2250</v>
      </c>
      <c s="433" r="H107">
        <f>CalculatorDetails!C89</f>
        <v>2250</v>
      </c>
      <c s="433" r="I107">
        <f>CalculatorDetails!D89</f>
        <v>2250</v>
      </c>
      <c t="s" s="370" r="J107">
        <v>392</v>
      </c>
      <c s="43" r="K107">
        <f>G107</f>
        <v>2250</v>
      </c>
      <c s="132" r="L107"/>
      <c s="54" r="M107"/>
      <c s="54" r="N107"/>
      <c s="54" r="O107"/>
      <c s="54" r="P107"/>
      <c s="54" r="Q107"/>
      <c s="54" r="R107"/>
      <c s="54" r="S107"/>
      <c s="54" r="T107"/>
      <c s="54" r="U107"/>
      <c s="54" r="V107"/>
      <c s="54" r="W107"/>
      <c s="54" r="X107"/>
      <c s="54" r="Y107"/>
      <c s="54" r="Z107"/>
      <c s="54" r="AA107"/>
      <c s="54" r="AB107"/>
      <c s="54" r="AC107"/>
      <c s="54" r="AD107"/>
      <c s="54" r="AE107"/>
      <c s="54" r="AF107"/>
      <c s="54" r="AG107"/>
      <c s="54" r="AH107"/>
    </row>
    <row r="108">
      <c t="s" s="370" r="A108">
        <v>490</v>
      </c>
      <c s="202" r="B108">
        <f>encryption_adder_percent</f>
        <v>0.25</v>
      </c>
      <c s="202" r="C108"/>
      <c s="351" r="D108"/>
      <c s="95" r="E108"/>
      <c s="351" r="F108"/>
      <c s="43" r="G108">
        <f>CalculatorDetails!B90</f>
        <v>562.5</v>
      </c>
      <c s="433" r="H108">
        <f>CalculatorDetails!C90</f>
        <v>562.5</v>
      </c>
      <c s="433" r="I108">
        <f>CalculatorDetails!D90</f>
        <v>562.5</v>
      </c>
      <c t="s" s="370" r="J108">
        <v>392</v>
      </c>
      <c t="s" s="356" r="K108">
        <v>392</v>
      </c>
      <c s="132" r="L108"/>
      <c s="54" r="M108"/>
      <c s="54" r="N108"/>
      <c s="54" r="O108"/>
      <c s="54" r="P108"/>
      <c s="54" r="Q108"/>
      <c s="54" r="R108"/>
      <c s="54" r="S108"/>
      <c s="54" r="T108"/>
      <c s="54" r="U108"/>
      <c s="54" r="V108"/>
      <c s="54" r="W108"/>
      <c s="54" r="X108"/>
      <c s="54" r="Y108"/>
      <c s="54" r="Z108"/>
      <c s="54" r="AA108"/>
      <c s="54" r="AB108"/>
      <c s="54" r="AC108"/>
      <c s="54" r="AD108"/>
      <c s="54" r="AE108"/>
      <c s="54" r="AF108"/>
      <c s="54" r="AG108"/>
      <c s="54" r="AH108"/>
    </row>
    <row r="109">
      <c t="s" s="403" r="A109">
        <v>491</v>
      </c>
      <c s="202" r="B109"/>
      <c s="202" r="C109"/>
      <c s="351" r="D109"/>
      <c s="95" r="E109"/>
      <c s="351" r="F109"/>
      <c s="276" r="G109">
        <f>CalculatorDetails!B91</f>
        <v>2812.5</v>
      </c>
      <c s="299" r="H109">
        <f>CalculatorDetails!C91</f>
        <v>2812.5</v>
      </c>
      <c s="299" r="I109">
        <f>CalculatorDetails!D91</f>
        <v>2812.5</v>
      </c>
      <c s="370" r="J109"/>
      <c s="356" r="K109"/>
      <c s="132" r="L109"/>
      <c s="54" r="M109"/>
      <c s="54" r="N109"/>
      <c s="54" r="O109"/>
      <c s="54" r="P109"/>
      <c s="54" r="Q109"/>
      <c s="54" r="R109"/>
      <c s="54" r="S109"/>
      <c s="54" r="T109"/>
      <c s="54" r="U109"/>
      <c s="54" r="V109"/>
      <c s="54" r="W109"/>
      <c s="54" r="X109"/>
      <c s="54" r="Y109"/>
      <c s="54" r="Z109"/>
      <c s="54" r="AA109"/>
      <c s="54" r="AB109"/>
      <c s="54" r="AC109"/>
      <c s="54" r="AD109"/>
      <c s="54" r="AE109"/>
      <c s="54" r="AF109"/>
      <c s="54" r="AG109"/>
      <c s="54" r="AH109"/>
    </row>
    <row r="110">
      <c s="370" r="A110"/>
      <c s="351" r="B110"/>
      <c s="351" r="C110"/>
      <c s="351" r="D110"/>
      <c s="123" r="E110"/>
      <c s="351" r="F110"/>
      <c s="397" r="G110"/>
      <c s="402" r="H110"/>
      <c s="402" r="I110"/>
      <c s="302" r="J110">
        <f>SUM(J99:J108)</f>
        <v>5000</v>
      </c>
      <c s="345" r="K110">
        <f>SUM(K99:K108)</f>
        <v>4835.30224320318</v>
      </c>
      <c s="132" r="L110"/>
      <c s="54" r="M110"/>
      <c s="54" r="N110"/>
      <c s="54" r="O110"/>
      <c s="54" r="P110"/>
      <c s="54" r="Q110"/>
      <c s="54" r="R110"/>
      <c s="54" r="S110"/>
      <c s="54" r="T110"/>
      <c s="54" r="U110"/>
      <c s="54" r="V110"/>
      <c s="54" r="W110"/>
      <c s="54" r="X110"/>
      <c s="54" r="Y110"/>
      <c s="54" r="Z110"/>
      <c s="54" r="AA110"/>
      <c s="54" r="AB110"/>
      <c s="54" r="AC110"/>
      <c s="54" r="AD110"/>
      <c s="54" r="AE110"/>
      <c s="54" r="AF110"/>
      <c s="54" r="AG110"/>
      <c s="54" r="AH110"/>
    </row>
    <row r="111">
      <c t="s" s="370" r="A111">
        <v>492</v>
      </c>
      <c s="351" r="B111"/>
      <c s="351" r="C111"/>
      <c s="351" r="D111"/>
      <c s="123" r="E111"/>
      <c s="351" r="F111"/>
      <c s="276" r="G111">
        <f>G114-G112</f>
        <v>7005.90672960954</v>
      </c>
      <c s="299" r="H111">
        <f>H114-H112</f>
        <v>7275.73295592255</v>
      </c>
      <c s="299" r="I111">
        <f>I114-I112</f>
        <v>7617.93785340179</v>
      </c>
      <c s="306" r="J111"/>
      <c s="52" r="K111"/>
      <c s="54" r="L111"/>
      <c s="54" r="M111"/>
      <c s="54" r="N111"/>
      <c s="54" r="O111"/>
      <c s="54" r="P111"/>
      <c s="54" r="Q111"/>
      <c s="54" r="R111"/>
      <c s="54" r="S111"/>
      <c s="54" r="T111"/>
      <c s="54" r="U111"/>
      <c s="54" r="V111"/>
      <c s="54" r="W111"/>
      <c s="54" r="X111"/>
      <c s="54" r="Y111"/>
      <c s="54" r="Z111"/>
      <c s="54" r="AA111"/>
      <c s="54" r="AB111"/>
      <c s="54" r="AC111"/>
      <c s="54" r="AD111"/>
      <c s="54" r="AE111"/>
      <c s="54" r="AF111"/>
      <c s="54" r="AG111"/>
      <c s="54" r="AH111"/>
    </row>
    <row r="112">
      <c t="s" s="370" r="A112">
        <v>493</v>
      </c>
      <c s="351" r="B112"/>
      <c s="351" r="C112"/>
      <c s="351" r="D112"/>
      <c s="123" r="E112"/>
      <c s="351" r="F112"/>
      <c s="276" r="G112">
        <f>(G102+G105)+G108</f>
        <v>1751.47668240239</v>
      </c>
      <c s="299" r="H112">
        <f>(H102+H105)+H108</f>
        <v>1818.93323898064</v>
      </c>
      <c s="299" r="I112">
        <f>(I102+I105)+I108</f>
        <v>1904.48446335045</v>
      </c>
      <c s="296" r="J112"/>
      <c s="248" r="K112"/>
      <c s="54" r="L112"/>
      <c s="54" r="M112"/>
      <c s="54" r="N112"/>
      <c s="54" r="O112"/>
      <c s="54" r="P112"/>
      <c s="54" r="Q112"/>
      <c s="54" r="R112"/>
      <c s="54" r="S112"/>
      <c s="54" r="T112"/>
      <c s="54" r="U112"/>
      <c s="54" r="V112"/>
      <c s="54" r="W112"/>
      <c s="54" r="X112"/>
      <c s="54" r="Y112"/>
      <c s="54" r="Z112"/>
      <c s="54" r="AA112"/>
      <c s="54" r="AB112"/>
      <c s="54" r="AC112"/>
      <c s="54" r="AD112"/>
      <c s="54" r="AE112"/>
      <c s="54" r="AF112"/>
      <c s="54" r="AG112"/>
      <c s="54" r="AH112"/>
    </row>
    <row r="113">
      <c s="377" r="A113"/>
      <c s="365" r="B113"/>
      <c s="365" r="C113"/>
      <c s="365" r="D113"/>
      <c s="67" r="E113"/>
      <c s="365" r="F113"/>
      <c s="126" r="G113"/>
      <c s="355" r="H113"/>
      <c s="402" r="I113"/>
      <c s="296" r="J113"/>
      <c s="248" r="K113"/>
      <c s="54" r="L113"/>
      <c s="54" r="M113"/>
      <c s="54" r="N113"/>
      <c s="54" r="O113"/>
      <c s="54" r="P113"/>
      <c s="54" r="Q113"/>
      <c s="54" r="R113"/>
      <c s="54" r="S113"/>
      <c s="54" r="T113"/>
      <c s="54" r="U113"/>
      <c s="54" r="V113"/>
      <c s="54" r="W113"/>
      <c s="54" r="X113"/>
      <c s="54" r="Y113"/>
      <c s="54" r="Z113"/>
      <c s="54" r="AA113"/>
      <c s="54" r="AB113"/>
      <c s="54" r="AC113"/>
      <c s="54" r="AD113"/>
      <c s="54" r="AE113"/>
      <c s="54" r="AF113"/>
      <c s="54" r="AG113"/>
      <c s="54" r="AH113"/>
    </row>
    <row r="114">
      <c t="s" s="347" r="A114">
        <v>494</v>
      </c>
      <c s="118" r="B114"/>
      <c s="118" r="C114"/>
      <c s="118" r="D114"/>
      <c s="76" r="E114"/>
      <c s="118" r="F114"/>
      <c s="108" r="G114">
        <f>(G103+G106)+G109</f>
        <v>8757.38341201193</v>
      </c>
      <c s="235" r="H114">
        <f>(H103+H106)+H109</f>
        <v>9094.66619490319</v>
      </c>
      <c s="122" r="I114">
        <f>(I103+I106)+I109</f>
        <v>9522.42231675224</v>
      </c>
      <c s="132" r="J114"/>
      <c s="54" r="K114"/>
      <c s="54" r="L114"/>
      <c s="54" r="M114"/>
      <c s="54" r="N114"/>
      <c s="54" r="O114"/>
      <c s="54" r="P114"/>
      <c s="54" r="Q114"/>
      <c s="54" r="R114"/>
      <c s="54" r="S114"/>
      <c s="54" r="T114"/>
      <c s="54" r="U114"/>
      <c s="54" r="V114"/>
      <c s="54" r="W114"/>
      <c s="54" r="X114"/>
      <c s="54" r="Y114"/>
      <c s="54" r="Z114"/>
      <c s="54" r="AA114"/>
      <c s="54" r="AB114"/>
      <c s="54" r="AC114"/>
      <c s="54" r="AD114"/>
      <c s="54" r="AE114"/>
      <c s="54" r="AF114"/>
      <c s="54" r="AG114"/>
      <c s="54" r="AH114"/>
    </row>
    <row r="115">
      <c s="81" r="A115"/>
      <c s="81" r="B115"/>
      <c s="81" r="C115"/>
      <c s="81" r="D115"/>
      <c s="81" r="E115"/>
      <c s="81" r="F115"/>
      <c s="81" r="G115"/>
      <c s="81" r="H115"/>
      <c s="81" r="I115"/>
      <c s="54" r="J115"/>
      <c s="54" r="K115"/>
      <c s="54" r="L115"/>
      <c s="54" r="M115"/>
      <c s="54" r="N115"/>
      <c s="54" r="O115"/>
      <c s="54" r="P115"/>
      <c s="54" r="Q115"/>
      <c s="54" r="R115"/>
      <c s="54" r="S115"/>
      <c s="54" r="T115"/>
      <c s="54" r="U115"/>
      <c s="54" r="V115"/>
      <c s="54" r="W115"/>
      <c s="54" r="X115"/>
      <c s="54" r="Y115"/>
      <c s="54" r="Z115"/>
      <c s="54" r="AA115"/>
      <c s="54" r="AB115"/>
      <c s="54" r="AC115"/>
      <c s="54" r="AD115"/>
      <c s="54" r="AE115"/>
      <c s="54" r="AF115"/>
      <c s="54" r="AG115"/>
      <c s="54" r="AH115"/>
    </row>
    <row r="116">
      <c t="s" s="347" r="A116">
        <v>495</v>
      </c>
      <c s="118" r="B116"/>
      <c s="118" r="C116"/>
      <c s="118" r="D116"/>
      <c s="76" r="E116"/>
      <c s="118" r="F116"/>
      <c s="108" r="G116">
        <f>G93+G114</f>
        <v>125613.815412012</v>
      </c>
      <c s="235" r="H116">
        <f>H93+H114</f>
        <v>125951.098194903</v>
      </c>
      <c s="235" r="I116">
        <f>I93+I114</f>
        <v>126378.854316752</v>
      </c>
      <c s="132" r="J116"/>
      <c s="54" r="K116"/>
      <c s="54" r="L116"/>
      <c s="54" r="M116"/>
      <c s="54" r="N116"/>
      <c s="54" r="O116"/>
      <c s="54" r="P116"/>
      <c s="54" r="Q116"/>
      <c s="54" r="R116"/>
      <c s="54" r="S116"/>
      <c s="54" r="T116"/>
      <c s="54" r="U116"/>
      <c s="54" r="V116"/>
      <c s="54" r="W116"/>
      <c s="54" r="X116"/>
      <c s="54" r="Y116"/>
      <c s="54" r="Z116"/>
      <c s="54" r="AA116"/>
      <c s="54" r="AB116"/>
      <c s="54" r="AC116"/>
      <c s="54" r="AD116"/>
      <c s="54" r="AE116"/>
      <c s="54" r="AF116"/>
      <c s="54" r="AG116"/>
      <c s="54" r="AH116"/>
    </row>
    <row r="117">
      <c s="68" r="A117"/>
      <c s="68" r="B117"/>
      <c s="68" r="C117"/>
      <c s="68" r="D117"/>
      <c s="68" r="E117"/>
      <c s="68" r="F117"/>
      <c s="68" r="G117"/>
      <c s="68" r="H117"/>
      <c s="68" r="I117"/>
      <c s="54" r="J117"/>
      <c s="54" r="K117"/>
      <c s="54" r="L117"/>
      <c s="54" r="M117"/>
      <c s="54" r="N117"/>
      <c s="54" r="O117"/>
      <c s="54" r="P117"/>
      <c s="54" r="Q117"/>
      <c s="54" r="R117"/>
      <c s="54" r="S117"/>
      <c s="54" r="T117"/>
      <c s="54" r="U117"/>
      <c s="54" r="V117"/>
      <c s="54" r="W117"/>
      <c s="54" r="X117"/>
      <c s="54" r="Y117"/>
      <c s="54" r="Z117"/>
      <c s="54" r="AA117"/>
      <c s="54" r="AB117"/>
      <c s="54" r="AC117"/>
      <c s="54" r="AD117"/>
      <c s="54" r="AE117"/>
      <c s="54" r="AF117"/>
      <c s="54" r="AG117"/>
      <c s="54" r="AH117"/>
    </row>
    <row r="118">
      <c t="s" s="365" r="A118">
        <v>496</v>
      </c>
      <c s="375" r="B118"/>
      <c s="375" r="C118"/>
      <c s="375" r="D118"/>
      <c s="375" r="E118"/>
      <c s="375" r="F118"/>
      <c s="297" r="G118">
        <f>enterprise_support_rate</f>
        <v>0.12</v>
      </c>
      <c s="297" r="H118"/>
      <c s="297" r="I118"/>
      <c s="54" r="J118"/>
      <c s="54" r="K118"/>
      <c s="54" r="L118"/>
      <c s="54" r="M118"/>
      <c s="54" r="N118"/>
      <c s="54" r="O118"/>
      <c s="54" r="P118"/>
      <c s="54" r="Q118"/>
      <c s="54" r="R118"/>
      <c s="54" r="S118"/>
      <c s="54" r="T118"/>
      <c s="54" r="U118"/>
      <c s="54" r="V118"/>
      <c s="54" r="W118"/>
      <c s="54" r="X118"/>
      <c s="54" r="Y118"/>
      <c s="54" r="Z118"/>
      <c s="54" r="AA118"/>
      <c s="54" r="AB118"/>
      <c s="54" r="AC118"/>
      <c s="54" r="AD118"/>
      <c s="54" r="AE118"/>
      <c s="54" r="AF118"/>
      <c s="54" r="AG118"/>
      <c s="54" r="AH118"/>
    </row>
    <row r="119">
      <c t="s" s="252" r="A119">
        <v>497</v>
      </c>
      <c s="252" r="B119"/>
      <c s="252" r="C119"/>
      <c s="252" r="D119"/>
      <c s="252" r="E119"/>
      <c s="347" r="F119"/>
      <c s="108" r="G119">
        <f>G116*enterprise_support_rate</f>
        <v>15073.6578494414</v>
      </c>
      <c s="235" r="H119">
        <f>H116*enterprise_support_rate</f>
        <v>15114.1317833884</v>
      </c>
      <c s="235" r="I119">
        <f>I116*enterprise_support_rate</f>
        <v>15165.4625180103</v>
      </c>
      <c s="132" r="J119"/>
      <c s="54" r="K119"/>
      <c s="54" r="L119"/>
      <c s="54" r="M119"/>
      <c s="54" r="N119"/>
      <c s="54" r="O119"/>
      <c s="54" r="P119"/>
      <c s="54" r="Q119"/>
      <c s="54" r="R119"/>
      <c s="54" r="S119"/>
      <c s="54" r="T119"/>
      <c s="54" r="U119"/>
      <c s="54" r="V119"/>
      <c s="54" r="W119"/>
      <c s="54" r="X119"/>
      <c s="54" r="Y119"/>
      <c s="54" r="Z119"/>
      <c s="54" r="AA119"/>
      <c s="54" r="AB119"/>
      <c s="54" r="AC119"/>
      <c s="54" r="AD119"/>
      <c s="54" r="AE119"/>
      <c s="54" r="AF119"/>
      <c s="54" r="AG119"/>
      <c s="54" r="AH119"/>
    </row>
    <row r="120">
      <c s="68" r="A120"/>
      <c s="68" r="B120"/>
      <c s="68" r="C120"/>
      <c s="68" r="D120"/>
      <c s="68" r="E120"/>
      <c s="68" r="F120"/>
      <c s="173" r="G120"/>
      <c s="173" r="H120"/>
      <c s="173" r="I120"/>
      <c s="54" r="J120"/>
      <c s="54" r="K120"/>
      <c s="54" r="L120"/>
      <c s="54" r="M120"/>
      <c s="54" r="N120"/>
      <c s="54" r="O120"/>
      <c s="54" r="P120"/>
      <c s="54" r="Q120"/>
      <c s="54" r="R120"/>
      <c s="54" r="S120"/>
      <c s="54" r="T120"/>
      <c s="54" r="U120"/>
      <c s="54" r="V120"/>
      <c s="54" r="W120"/>
      <c s="54" r="X120"/>
      <c s="54" r="Y120"/>
      <c s="54" r="Z120"/>
      <c s="54" r="AA120"/>
      <c s="54" r="AB120"/>
      <c s="54" r="AC120"/>
      <c s="54" r="AD120"/>
      <c s="54" r="AE120"/>
      <c s="54" r="AF120"/>
      <c s="54" r="AG120"/>
      <c s="54" r="AH120"/>
    </row>
    <row r="121">
      <c t="s" s="387" r="A121">
        <v>498</v>
      </c>
      <c s="387" r="B121"/>
      <c s="387" r="C121"/>
      <c s="387" r="D121"/>
      <c s="387" r="E121"/>
      <c s="387" r="F121"/>
      <c s="167" r="G121">
        <f>G116+G119</f>
        <v>140687.473261453</v>
      </c>
      <c s="167" r="H121">
        <f>H116+H119</f>
        <v>141065.229978292</v>
      </c>
      <c s="167" r="I121">
        <f>I116+I119</f>
        <v>141544.316834763</v>
      </c>
      <c s="54" r="J121"/>
      <c s="54" r="K121"/>
      <c s="54" r="L121"/>
      <c s="54" r="M121"/>
      <c s="54" r="N121"/>
      <c s="54" r="O121"/>
      <c s="54" r="P121"/>
      <c s="54" r="Q121"/>
      <c s="54" r="R121"/>
      <c s="54" r="S121"/>
      <c s="54" r="T121"/>
      <c s="54" r="U121"/>
      <c s="54" r="V121"/>
      <c s="54" r="W121"/>
      <c s="54" r="X121"/>
      <c s="54" r="Y121"/>
      <c s="54" r="Z121"/>
      <c s="54" r="AA121"/>
      <c s="54" r="AB121"/>
      <c s="54" r="AC121"/>
      <c s="54" r="AD121"/>
      <c s="54" r="AE121"/>
      <c s="54" r="AF121"/>
      <c s="54" r="AG121"/>
      <c s="54" r="AH121"/>
    </row>
    <row r="122">
      <c s="54" r="A122"/>
      <c s="54" r="B122"/>
      <c s="54" r="C122"/>
      <c s="54" r="D122"/>
      <c s="54" r="E122"/>
      <c s="54" r="F122"/>
      <c s="54" r="G122"/>
      <c s="54" r="H122"/>
      <c s="54" r="I122"/>
      <c s="54" r="J122"/>
      <c s="54" r="K122"/>
      <c s="54" r="L122"/>
      <c s="54" r="M122"/>
      <c s="54" r="N122"/>
      <c s="54" r="O122"/>
      <c s="54" r="P122"/>
      <c s="54" r="Q122"/>
      <c s="54" r="R122"/>
      <c s="54" r="S122"/>
      <c s="54" r="T122"/>
      <c s="54" r="U122"/>
      <c s="54" r="V122"/>
      <c s="54" r="W122"/>
      <c s="54" r="X122"/>
      <c s="54" r="Y122"/>
      <c s="54" r="Z122"/>
      <c s="54" r="AA122"/>
      <c s="54" r="AB122"/>
      <c s="54" r="AC122"/>
      <c s="54" r="AD122"/>
      <c s="54" r="AE122"/>
      <c s="54" r="AF122"/>
      <c s="54" r="AG122"/>
      <c s="54" r="AH122"/>
    </row>
    <row r="123">
      <c t="s" s="387" r="A123">
        <v>499</v>
      </c>
      <c s="387" r="B123"/>
      <c s="387" r="C123"/>
      <c s="387" r="D123"/>
      <c s="387" r="E123"/>
      <c s="387" r="F123"/>
      <c s="167" r="G123">
        <f>SUM(G121:I121)</f>
        <v>423297.020074508</v>
      </c>
      <c s="167" r="H123"/>
      <c s="167" r="I123"/>
      <c s="54" r="J123"/>
      <c s="54" r="K123"/>
      <c s="54" r="L123"/>
      <c s="54" r="M123"/>
      <c s="54" r="N123"/>
      <c s="54" r="O123"/>
      <c s="54" r="P123"/>
      <c s="54" r="Q123"/>
      <c s="54" r="R123"/>
      <c s="54" r="S123"/>
      <c s="54" r="T123"/>
      <c s="54" r="U123"/>
      <c s="54" r="V123"/>
      <c s="54" r="W123"/>
      <c s="54" r="X123"/>
      <c s="54" r="Y123"/>
      <c s="54" r="Z123"/>
      <c s="54" r="AA123"/>
      <c s="54" r="AB123"/>
      <c s="54" r="AC123"/>
      <c s="54" r="AD123"/>
      <c s="54" r="AE123"/>
      <c s="54" r="AF123"/>
      <c s="54" r="AG123"/>
      <c s="54" r="AH123"/>
    </row>
    <row r="124">
      <c s="54" r="A124"/>
      <c s="54" r="B124"/>
      <c s="54" r="C124"/>
      <c s="54" r="D124"/>
      <c s="54" r="E124"/>
      <c s="54" r="F124"/>
      <c s="54" r="G124"/>
      <c s="54" r="H124"/>
      <c s="54" r="I124"/>
      <c s="54" r="J124"/>
      <c s="54" r="K124"/>
      <c s="54" r="L124"/>
      <c s="54" r="M124"/>
      <c s="54" r="N124"/>
      <c s="54" r="O124"/>
      <c s="54" r="P124"/>
      <c s="54" r="Q124"/>
      <c s="54" r="R124"/>
      <c s="54" r="S124"/>
      <c s="54" r="T124"/>
      <c s="54" r="U124"/>
      <c s="54" r="V124"/>
      <c s="54" r="W124"/>
      <c s="54" r="X124"/>
      <c s="54" r="Y124"/>
      <c s="54" r="Z124"/>
      <c s="54" r="AA124"/>
      <c s="54" r="AB124"/>
      <c s="54" r="AC124"/>
      <c s="54" r="AD124"/>
      <c s="54" r="AE124"/>
      <c s="54" r="AF124"/>
      <c s="54" r="AG124"/>
      <c s="54" r="AH124"/>
    </row>
  </sheetData>
  <mergeCells count="5">
    <mergeCell ref="A9:B9"/>
    <mergeCell ref="E20:I21"/>
    <mergeCell ref="A85:G85"/>
    <mergeCell ref="J96:K96"/>
    <mergeCell ref="A97:G97"/>
  </mergeCells>
  <dataValidations>
    <dataValidation showErrorMessage="1" sqref="D19 D48 D52 D56 D60" allowBlank="1" type="whole" operator="greaterThanOrEqual">
      <formula1>0</formula1>
    </dataValidation>
    <dataValidation showErrorMessage="1" sqref="D20 D28" allowBlank="1" type="list">
      <formula1>"No Growth, Linear Growth, Non-Linear Growth"</formula1>
    </dataValidation>
    <dataValidation showErrorMessage="1" sqref="D22" allowBlank="1" type="list">
      <formula1>"12, 36"</formula1>
    </dataValidation>
    <dataValidation showErrorMessage="1" sqref="D23" allowBlank="1" type="whole" operator="greaterThanOrEqual">
      <formula1>2000</formula1>
    </dataValidation>
    <dataValidation showErrorMessage="1" sqref="D24" allowBlank="1" type="whole" operator="greaterThanOrEqual">
      <formula1>0.000001</formula1>
    </dataValidation>
    <dataValidation showErrorMessage="1" sqref="D27" allowBlank="1" type="whole" operator="greaterThan">
      <formula1>0</formula1>
    </dataValidation>
    <dataValidation showErrorMessage="1" sqref="D29" allowBlank="1" type="whole" operator="greaterThan">
      <formula1>1000</formula1>
    </dataValidation>
    <dataValidation showErrorMessage="1" sqref="D30" allowBlank="1" type="whole" operator="greaterThan">
      <formula1>0.000001</formula1>
    </dataValidation>
    <dataValidation showErrorMessage="1" sqref="D34:D35 D72:D74" allowBlank="1" type="whole">
      <formula1>0</formula1>
      <formula2>1</formula2>
    </dataValidation>
    <dataValidation showErrorMessage="1" sqref="D44" allowBlank="1" type="whole" operator="greaterThanOrEqual">
      <formula1>1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86" defaultRowHeight="12.75"/>
  <cols>
    <col min="1" max="1" style="20" width="13.14"/>
    <col min="2" customWidth="1" max="2" style="20" width="2.71"/>
    <col min="3" customWidth="1" max="4" style="20" width="25.86"/>
    <col min="5" customWidth="1" max="8" style="65" width="21.57"/>
    <col min="9" customWidth="1" max="9" style="20" width="17.57"/>
  </cols>
  <sheetData>
    <row customHeight="1" r="1" ht="18.75">
      <c s="408" r="A1"/>
      <c s="408" r="B1"/>
      <c s="408" r="C1"/>
      <c s="282" r="D1"/>
      <c s="242" r="E1"/>
      <c s="310" r="F1"/>
      <c s="242" r="G1"/>
      <c s="310" r="H1"/>
      <c s="408" r="I1"/>
    </row>
    <row customHeight="1" r="2" ht="18.75">
      <c s="408" r="A2"/>
      <c s="408" r="B2"/>
      <c s="408" r="C2"/>
      <c s="282" r="D2"/>
      <c s="242" r="E2"/>
      <c s="310" r="F2"/>
      <c s="310" r="G2"/>
      <c s="310" r="H2"/>
      <c s="408" r="I2"/>
    </row>
    <row customHeight="1" r="3" ht="16.5">
      <c s="408" r="A3"/>
      <c s="408" r="B3"/>
      <c s="408" r="C3"/>
      <c s="408" r="D3"/>
      <c s="242" r="E3"/>
      <c s="169" r="F3"/>
      <c s="310" r="G3"/>
      <c s="65" r="H3"/>
      <c s="408" r="I3"/>
    </row>
    <row customHeight="1" r="4" ht="16.5">
      <c s="408" r="A4"/>
      <c s="408" r="B4"/>
      <c s="408" r="C4"/>
      <c s="408" r="D4"/>
      <c s="310" r="E4"/>
      <c s="169" r="F4"/>
      <c s="310" r="G4"/>
      <c s="65" r="H4"/>
      <c s="408" r="I4"/>
    </row>
    <row customHeight="1" r="5" ht="16.5">
      <c s="408" r="A5"/>
      <c s="408" r="B5"/>
      <c s="408" r="C5"/>
      <c s="408" r="D5"/>
      <c s="310" r="E5"/>
      <c s="169" r="F5"/>
      <c s="197" r="G5"/>
      <c s="65" r="H5"/>
      <c s="408" r="I5"/>
    </row>
    <row customHeight="1" r="6" ht="16.5">
      <c s="408" r="A6"/>
      <c s="408" r="B6"/>
      <c s="408" r="C6"/>
      <c s="408" r="D6"/>
      <c t="s" s="177" r="E6">
        <v>500</v>
      </c>
      <c s="169" r="F6"/>
      <c s="310" r="G6"/>
      <c s="65" r="H6"/>
      <c s="408" r="I6"/>
    </row>
    <row customHeight="1" r="7" ht="16.5">
      <c s="408" r="A7"/>
      <c s="408" r="B7"/>
      <c t="s" s="295" r="C7">
        <v>501</v>
      </c>
      <c s="408" r="D7"/>
      <c s="310" r="E7"/>
      <c s="169" r="F7"/>
      <c t="s" s="295" r="G7">
        <v>502</v>
      </c>
      <c s="65" r="H7"/>
      <c s="408" r="I7"/>
    </row>
    <row customHeight="1" r="8" ht="16.5">
      <c s="408" r="A8"/>
      <c s="408" r="B8"/>
      <c t="s" s="197" r="C8">
        <v>503</v>
      </c>
      <c s="408" r="D8"/>
      <c s="310" r="E8"/>
      <c s="169" r="F8"/>
      <c t="s" s="197" r="G8">
        <v>504</v>
      </c>
      <c s="65" r="H8"/>
      <c s="408" r="I8"/>
    </row>
    <row customHeight="1" r="9" ht="16.5">
      <c s="408" r="A9"/>
      <c s="408" r="B9"/>
      <c t="str" s="291" r="C9">
        <f>HYPERLINK("mailto:chris@brkt.com","bill@brkt.com")</f>
        <v>bill@brkt.com</v>
      </c>
      <c s="408" r="D9"/>
      <c s="310" r="E9"/>
      <c s="169" r="F9"/>
      <c t="s" s="197" r="G9">
        <v>505</v>
      </c>
      <c s="65" r="H9"/>
      <c s="408" r="I9"/>
    </row>
    <row customHeight="1" r="10" ht="16.5">
      <c s="408" r="A10"/>
      <c s="408" r="B10"/>
      <c t="s" s="197" r="C10">
        <v>506</v>
      </c>
      <c s="408" r="D10"/>
      <c s="310" r="E10"/>
      <c s="169" r="F10"/>
      <c t="s" s="20" r="G10">
        <v>507</v>
      </c>
      <c s="65" r="H10"/>
      <c s="408" r="I10"/>
    </row>
    <row customHeight="1" r="11" ht="16.5">
      <c s="408" r="A11"/>
      <c s="408" r="B11"/>
      <c s="197" r="C11"/>
      <c s="408" r="D11"/>
      <c s="310" r="E11"/>
      <c s="169" r="F11"/>
      <c s="20" r="G11"/>
      <c s="65" r="H11"/>
      <c s="408" r="I11"/>
    </row>
    <row customHeight="1" r="12" ht="16.5">
      <c s="408" r="A12"/>
      <c s="408" r="B12"/>
      <c s="197" r="C12"/>
      <c s="408" r="D12"/>
      <c s="310" r="E12"/>
      <c s="169" r="F12"/>
      <c s="20" r="G12"/>
      <c s="65" r="H12"/>
      <c s="408" r="I12"/>
    </row>
    <row customHeight="1" r="13" ht="16.5">
      <c s="408" r="A13"/>
      <c s="408" r="B13"/>
      <c s="384" r="C13"/>
      <c s="384" r="D13"/>
      <c s="21" r="E13"/>
      <c s="181" r="F13"/>
      <c s="430" r="G13"/>
      <c s="115" r="H13"/>
      <c s="408" r="I13"/>
    </row>
    <row customHeight="1" r="14" ht="30.75">
      <c s="408" r="A14"/>
      <c s="256" r="B14"/>
      <c t="s" s="339" r="C14">
        <v>508</v>
      </c>
      <c s="330" r="D14"/>
      <c t="str" s="287" r="E14">
        <f>Calculator!E2</f>
        <v>Year 1</v>
      </c>
      <c t="str" s="287" r="F14">
        <f>Calculator!F2</f>
        <v>Year 2</v>
      </c>
      <c t="str" s="359" r="G14">
        <f>Calculator!G2</f>
        <v>Year 3</v>
      </c>
      <c t="s" s="194" r="H14">
        <v>509</v>
      </c>
      <c s="401" r="I14"/>
    </row>
    <row customHeight="1" r="15" ht="16.5">
      <c s="408" r="A15"/>
      <c s="256" r="B15"/>
      <c t="str" s="91" r="C15">
        <f>Calculator!D3</f>
        <v>Compute</v>
      </c>
      <c s="28" r="D15"/>
      <c s="425" r="E15">
        <f>Calculator!E3</f>
        <v>116856.432</v>
      </c>
      <c s="425" r="F15">
        <f>Calculator!F3</f>
        <v>116856.432</v>
      </c>
      <c s="265" r="G15">
        <f>Calculator!G3</f>
        <v>116856.432</v>
      </c>
      <c s="329" r="H15">
        <f>SUM(E15:G15)</f>
        <v>350569.296</v>
      </c>
      <c s="401" r="I15"/>
    </row>
    <row customHeight="1" r="16" ht="16.5">
      <c s="408" r="A16"/>
      <c s="256" r="B16"/>
      <c t="str" s="175" r="C16">
        <f>Calculator!D4</f>
        <v>Storage</v>
      </c>
      <c s="20" r="D16"/>
      <c s="260" r="E16">
        <f>Calculator!E4</f>
        <v>7005.90672960954</v>
      </c>
      <c s="260" r="F16">
        <f>Calculator!F4</f>
        <v>7275.73295592255</v>
      </c>
      <c s="279" r="G16">
        <f>Calculator!G4</f>
        <v>7617.93785340179</v>
      </c>
      <c s="257" r="H16">
        <f>SUM(E16:G16)</f>
        <v>21899.5775389339</v>
      </c>
      <c s="401" r="I16"/>
    </row>
    <row customHeight="1" r="17" ht="16.5">
      <c s="408" r="A17"/>
      <c s="256" r="B17"/>
      <c t="str" s="321" r="C17">
        <f>Calculator!D5</f>
        <v>Security</v>
      </c>
      <c s="138" r="D17"/>
      <c s="162" r="E17">
        <f>Calculator!E5</f>
        <v>1751.47668240239</v>
      </c>
      <c s="162" r="F17">
        <f>Calculator!F5</f>
        <v>1818.93323898064</v>
      </c>
      <c s="327" r="G17">
        <f>Calculator!G5</f>
        <v>1904.48446335045</v>
      </c>
      <c s="188" r="H17">
        <f>SUM(E17:G17)</f>
        <v>5474.89438473347</v>
      </c>
      <c s="401" r="I17"/>
    </row>
    <row customHeight="1" r="18" ht="16.5">
      <c s="408" r="A18"/>
      <c s="256" r="B18"/>
      <c t="str" s="400" r="C18">
        <f>Calculator!D6</f>
        <v>Volume Quote - Estimate</v>
      </c>
      <c s="220" r="D18"/>
      <c s="322" r="E18">
        <f>Calculator!E6</f>
        <v>125613.815412012</v>
      </c>
      <c s="322" r="F18">
        <f>Calculator!F6</f>
        <v>125951.098194903</v>
      </c>
      <c s="320" r="G18">
        <f>Calculator!G6</f>
        <v>126378.854316752</v>
      </c>
      <c s="285" r="H18">
        <f>SUM(E18:G18)</f>
        <v>377943.767923667</v>
      </c>
      <c s="401" r="I18"/>
    </row>
    <row customHeight="1" r="19" ht="16.5">
      <c s="408" r="A19"/>
      <c s="256" r="B19"/>
      <c t="str" s="175" r="C19">
        <f>Calculator!D7</f>
        <v>Enterprise Support</v>
      </c>
      <c s="20" r="D19"/>
      <c s="260" r="E19">
        <f>Calculator!E7</f>
        <v>15073.6578494414</v>
      </c>
      <c s="260" r="F19">
        <f>Calculator!F7</f>
        <v>15114.1317833884</v>
      </c>
      <c s="279" r="G19">
        <f>Calculator!G7</f>
        <v>15165.4625180103</v>
      </c>
      <c s="257" r="H19">
        <f>SUM(E19:G19)</f>
        <v>45353.2521508401</v>
      </c>
      <c s="401" r="I19"/>
    </row>
    <row customHeight="1" r="20" ht="5.25">
      <c s="408" r="A20"/>
      <c s="256" r="B20"/>
      <c s="321" r="C20"/>
      <c s="138" r="D20"/>
      <c s="162" r="E20"/>
      <c s="162" r="F20"/>
      <c s="327" r="G20"/>
      <c s="188" r="H20"/>
      <c s="401" r="I20"/>
    </row>
    <row customHeight="1" r="21" ht="16.5">
      <c s="408" r="A21"/>
      <c s="256" r="B21"/>
      <c t="str" s="180" r="C21">
        <f>Calculator!D8</f>
        <v>Total Estimate</v>
      </c>
      <c s="150" r="D21"/>
      <c s="311" r="E21">
        <f>Calculator!E8</f>
        <v>140687.473261453</v>
      </c>
      <c s="311" r="F21">
        <f>Calculator!F8</f>
        <v>141065.229978292</v>
      </c>
      <c s="435" r="G21">
        <f>Calculator!G8</f>
        <v>141544.316834763</v>
      </c>
      <c s="147" r="H21">
        <f>SUM(E21:G21)</f>
        <v>423297.020074508</v>
      </c>
      <c s="401" r="I21"/>
    </row>
    <row customHeight="1" r="22" ht="16.5">
      <c s="408" r="A22"/>
      <c s="408" r="B22"/>
      <c s="262" r="C22"/>
      <c s="262" r="D22"/>
      <c s="264" r="E22"/>
      <c s="425" r="F22"/>
      <c s="425" r="G22"/>
      <c s="48" r="H22"/>
      <c s="408" r="I22"/>
    </row>
    <row customHeight="1" r="23" ht="16.5">
      <c s="408" r="A23"/>
      <c s="408" r="B23"/>
      <c s="408" r="C23"/>
      <c s="408" r="D23"/>
      <c s="260" r="E23"/>
      <c s="260" r="F23"/>
      <c s="260" r="G23"/>
      <c s="65" r="H23"/>
      <c s="408" r="I23"/>
    </row>
    <row customHeight="1" r="24" ht="46.5">
      <c s="408" r="A24"/>
      <c s="408" r="B24"/>
      <c t="s" s="57" r="C24">
        <v>510</v>
      </c>
      <c s="57" r="D24"/>
      <c s="57" r="E24"/>
      <c s="57" r="F24"/>
      <c s="57" r="G24"/>
      <c s="211" r="H24"/>
      <c s="408" r="I24"/>
    </row>
    <row customHeight="1" r="25" ht="38.25">
      <c s="408" r="A25"/>
      <c s="408" r="B25"/>
      <c t="str" s="57" r="C25">
        <f>CONCATENATE("This Pricing Estimate reflects an assumed Volume Band Discount of ",(storage_discount*100),"% off Bracket Storage and Security Services and ",(compute_discount*100),"% off Bracket Compute Services.")</f>
        <v>This Pricing Estimate reflects an assumed Volume Band Discount of 75% off Bracket Storage and Security Services and 40% off Bracket Compute Services.</v>
      </c>
      <c s="57" r="D25"/>
      <c s="57" r="E25"/>
      <c s="57" r="F25"/>
      <c s="57" r="G25"/>
      <c s="211" r="H25"/>
      <c s="408" r="I25"/>
    </row>
    <row customHeight="1" r="26" ht="23.25">
      <c s="408" r="A26"/>
      <c s="408" r="B26"/>
      <c t="s" s="57" r="C26">
        <v>511</v>
      </c>
      <c s="57" r="D26"/>
      <c s="57" r="E26"/>
      <c s="57" r="F26"/>
      <c s="57" r="G26"/>
      <c s="211" r="H26"/>
      <c s="408" r="I26"/>
    </row>
    <row customHeight="1" r="27" ht="16.5">
      <c s="408" r="A27"/>
      <c s="408" r="B27"/>
      <c s="408" r="C27"/>
      <c s="408" r="D27"/>
      <c s="242" r="E27"/>
      <c s="169" r="F27"/>
      <c s="197" r="G27"/>
      <c s="65" r="H27"/>
      <c s="408" r="I27"/>
    </row>
    <row customHeight="1" r="28" ht="18.75">
      <c s="408" r="A28"/>
      <c s="408" r="B28"/>
      <c t="s" s="90" r="C28">
        <v>512</v>
      </c>
      <c s="315" r="D28"/>
      <c s="315" r="E28"/>
      <c s="315" r="F28"/>
      <c s="315" r="G28"/>
      <c s="315" r="H28"/>
      <c s="358" r="I28"/>
    </row>
    <row customHeight="1" r="29" ht="18.75">
      <c s="408" r="A29"/>
      <c s="408" r="B29"/>
      <c s="90" r="C29"/>
      <c s="315" r="D29"/>
      <c s="315" r="E29"/>
      <c s="315" r="F29"/>
      <c s="315" r="G29"/>
      <c s="315" r="H29"/>
      <c s="358" r="I29"/>
    </row>
    <row customHeight="1" s="358" customFormat="1" r="30" ht="18.0">
      <c s="408" r="A30"/>
      <c s="408" r="B30"/>
      <c t="s" s="358" r="C30">
        <v>513</v>
      </c>
      <c s="20" r="D30"/>
      <c s="65" r="E30"/>
      <c s="65" r="F30"/>
      <c s="65" r="G30"/>
      <c s="358" r="H30"/>
      <c s="408" r="I30"/>
    </row>
    <row s="358" customFormat="1" r="31">
      <c s="408" r="A31"/>
      <c s="408" r="B31"/>
      <c t="str" s="57" r="C31">
        <f>CONCATENATE("1) An Application with ",Calculator!J19," GB storage capacity")</f>
        <v>1) An Application with 2,000 GB storage capacity</v>
      </c>
      <c s="57" r="D31"/>
      <c s="57" r="E31"/>
      <c s="57" r="F31"/>
      <c s="57" r="G31"/>
      <c s="57" r="H31"/>
      <c s="408" r="I31"/>
    </row>
    <row s="358" customFormat="1" r="32">
      <c s="408" r="A32"/>
      <c s="408" r="B32"/>
      <c t="str" s="57" r="C32">
        <f>Calculator!M20</f>
        <v>2) No anticipated need for storage growth over the next 12-36 months</v>
      </c>
      <c s="57" r="D32"/>
      <c s="57" r="E32"/>
      <c s="57" r="F32"/>
      <c s="57" r="G32"/>
      <c s="57" r="H32"/>
      <c s="408" r="I32"/>
    </row>
    <row customHeight="1" s="166" customFormat="1" r="33" ht="18.0">
      <c s="408" r="A33"/>
      <c s="408" r="B33"/>
      <c s="408" r="C33"/>
      <c s="408" r="D33"/>
      <c s="310" r="E33"/>
      <c s="310" r="F33"/>
      <c s="310" r="G33"/>
      <c s="129" r="H33"/>
      <c s="408" r="I33"/>
    </row>
    <row customHeight="1" s="358" customFormat="1" r="34" ht="18.0">
      <c s="408" r="A34"/>
      <c s="408" r="B34"/>
      <c t="s" s="358" r="C34">
        <v>241</v>
      </c>
      <c s="20" r="D34"/>
      <c s="65" r="E34"/>
      <c s="65" r="F34"/>
      <c s="65" r="G34"/>
      <c s="358" r="H34"/>
      <c s="408" r="I34"/>
    </row>
    <row s="358" customFormat="1" r="35">
      <c s="408" r="A35"/>
      <c s="408" r="B35"/>
      <c t="str" s="57" r="C35">
        <f>CONCATENATE("1) An Application needing ",Calculator!J27," IOPS (input/output operations per second)")</f>
        <v>1) An Application needing 1,000 IOPS (input/output operations per second)</v>
      </c>
      <c s="57" r="D35"/>
      <c s="57" r="E35"/>
      <c s="57" r="F35"/>
      <c s="57" r="G35"/>
      <c s="57" r="H35"/>
      <c s="408" r="I35"/>
    </row>
    <row s="358" customFormat="1" r="36">
      <c s="408" r="A36"/>
      <c s="408" r="B36"/>
      <c t="str" s="57" r="C36">
        <f>CONCATENATE("2) ",Calculator!M28)</f>
        <v>2) The need for non-linear IOPS growth starting at 1,000 IOPS and growing 2% per month over 36 months</v>
      </c>
      <c s="57" r="D36"/>
      <c s="57" r="E36"/>
      <c s="57" r="F36"/>
      <c s="57" r="G36"/>
      <c s="57" r="H36"/>
      <c s="408" r="I36"/>
    </row>
    <row customHeight="1" s="166" customFormat="1" r="37" ht="18.0">
      <c s="408" r="A37"/>
      <c s="408" r="B37"/>
      <c s="408" r="C37"/>
      <c s="408" r="D37"/>
      <c s="310" r="E37"/>
      <c s="310" r="F37"/>
      <c s="310" r="G37"/>
      <c s="129" r="H37"/>
      <c s="408" r="I37"/>
    </row>
    <row customHeight="1" s="358" customFormat="1" r="38" ht="18.0">
      <c s="408" r="A38"/>
      <c s="408" r="B38"/>
      <c t="s" s="358" r="C38">
        <v>514</v>
      </c>
      <c s="20" r="D38"/>
      <c s="65" r="E38"/>
      <c s="65" r="F38"/>
      <c s="65" r="G38"/>
      <c s="358" r="H38"/>
      <c s="408" r="I38"/>
    </row>
    <row s="358" customFormat="1" r="39">
      <c s="408" r="A39"/>
      <c s="408" r="B39"/>
      <c t="str" s="57" r="C39">
        <f>CONCATENATE("1) ",Calculator!J33 )</f>
        <v>1)  Tier 2, Bracket's basic response tier.</v>
      </c>
      <c s="57" r="D39"/>
      <c s="57" r="E39"/>
      <c s="57" r="F39"/>
      <c s="57" r="G39"/>
      <c s="57" r="H39"/>
      <c s="408" r="I39"/>
    </row>
    <row s="358" customFormat="1" r="40">
      <c s="408" r="A40"/>
      <c s="408" r="B40"/>
      <c t="str" s="57" r="C40">
        <f>CONCATENATE("2) ",Calculator!J34)</f>
        <v>2) The application will need to be active to access this storage 50% of the time.</v>
      </c>
      <c s="57" r="D40"/>
      <c s="57" r="E40"/>
      <c s="57" r="F40"/>
      <c s="57" r="G40"/>
      <c s="57" r="H40"/>
      <c s="408" r="I40"/>
    </row>
    <row s="358" customFormat="1" r="41">
      <c s="408" r="A41"/>
      <c s="408" r="B41"/>
      <c t="str" s="57" r="C41">
        <f>CONCATENATE("3) ",Calculator!J35)</f>
        <v>3) A 75% snapshot usage rate.</v>
      </c>
      <c s="57" r="D41"/>
      <c s="57" r="E41"/>
      <c s="57" r="F41"/>
      <c s="57" r="G41"/>
      <c s="57" r="H41"/>
      <c s="408" r="I41"/>
    </row>
    <row customHeight="1" r="42" ht="19.5">
      <c s="408" r="A42"/>
      <c s="408" r="B42"/>
      <c s="209" r="C42"/>
      <c s="209" r="D42"/>
      <c s="65" r="E42"/>
      <c s="65" r="F42"/>
      <c s="65" r="G42"/>
      <c s="65" r="H42"/>
      <c s="408" r="I42"/>
    </row>
    <row customHeight="1" s="358" customFormat="1" r="43" ht="18.0">
      <c s="408" r="A43"/>
      <c s="408" r="B43"/>
      <c t="str" s="358" r="C43">
        <f>IF((SUM(((((Calculator!D44+Calculator!D48)+Calculator!D52)+Calculator!D56)+Calculator!D60))=1),CONCATENATE("One Compute Instance running ",Calculator!E38), IF((SUM(((((Calculator!D44+Calculator!D48)+Calculator!D52)+Calculator!D56)+Calculator!D60))&gt;1),CONCATENATE(SUM(((((Calculator!D44+Calculator!D48)+Calculator!D52)+Calculator!D56)+Calculator!D60)), " Compute Instances running ",Calculator!E38),""))</f>
        <v>5 Compute Instances running Windows with SQL Server</v>
      </c>
      <c s="20" r="D43"/>
      <c s="65" r="E43"/>
      <c s="418" r="F43"/>
      <c s="394" r="G43"/>
      <c s="394" r="H43"/>
      <c s="243" r="I43"/>
    </row>
    <row customHeight="1" r="44" ht="15.0">
      <c s="408" r="A44"/>
      <c s="408" r="B44"/>
      <c t="str" s="57" r="C44">
        <f>IF(AND((Calculator!D43&lt;&gt;""),(Calculator!D44&gt;0)),CONCATENATE("1) Quantity: ",Calculator!J44," - ",Calculator!J43,(IF((Calculator!J44&gt;1),"s","")),""),"")</f>
        <v>1) Quantity: 2 - Medium Instance Types</v>
      </c>
      <c s="57" r="D44"/>
      <c s="57" r="E44"/>
      <c s="65" r="F44"/>
      <c s="394" r="G44"/>
      <c s="394" r="H44"/>
      <c s="243" r="I44"/>
    </row>
    <row customHeight="1" r="45" ht="15.0">
      <c s="408" r="A45"/>
      <c s="408" r="B45"/>
      <c t="str" s="57" r="C45">
        <f>IF(AND((Calculator!D47&lt;&gt;""),(Calculator!D48&gt;0)),CONCATENATE("2) Quantity: ",Calculator!J48," - ",Calculator!J47,(IF((Calculator!J48&gt;1),"s","")),""),"")</f>
        <v>2) Quantity: 3 - High Storage 8x Large Instance Types</v>
      </c>
      <c s="57" r="D45"/>
      <c s="57" r="E45"/>
      <c s="65" r="F45"/>
      <c s="394" r="G45"/>
      <c s="394" r="H45"/>
      <c s="243" r="I45"/>
    </row>
    <row customHeight="1" r="46" ht="15.0">
      <c s="408" r="A46"/>
      <c s="408" r="B46"/>
      <c t="str" s="57" r="C46">
        <f>IF(AND((Calculator!D51&lt;&gt;""),(Calculator!D52&gt;0)),CONCATENATE("3) Quantity: ",Calculator!J52," - ",Calculator!J51,(IF((Calculator!J52&gt;1),"s","")),""),"")</f>
        <v/>
      </c>
      <c s="57" r="D46"/>
      <c s="57" r="E46"/>
      <c s="65" r="F46"/>
      <c s="394" r="G46"/>
      <c s="394" r="H46"/>
      <c s="243" r="I46"/>
    </row>
    <row customHeight="1" r="47" ht="15.0">
      <c s="408" r="A47"/>
      <c s="408" r="B47"/>
      <c t="str" s="57" r="C47">
        <f>IF(AND((Calculator!D55&lt;&gt;""),(Calculator!D56&gt;0)),CONCATENATE("4) Quantity: ",Calculator!J56," - ",Calculator!J55,(IF((Calculator!J56&gt;1),"s","")),""),"")</f>
        <v/>
      </c>
      <c s="57" r="D47"/>
      <c s="57" r="E47"/>
      <c s="65" r="F47"/>
      <c s="394" r="G47"/>
      <c s="394" r="H47"/>
      <c s="243" r="I47"/>
    </row>
    <row customHeight="1" r="48" ht="15.0">
      <c s="408" r="A48"/>
      <c s="408" r="B48"/>
      <c t="str" s="57" r="C48">
        <f>IF(AND((Calculator!D59&lt;&gt;""),(Calculator!D60&gt;0)),CONCATENATE("5) Quantity: ",Calculator!J60," - ",Calculator!J59,(IF((Calculator!J60&gt;1),"s","")),""),"")</f>
        <v/>
      </c>
      <c s="57" r="D48"/>
      <c s="57" r="E48"/>
      <c s="65" r="F48"/>
      <c s="394" r="G48"/>
      <c s="394" r="H48"/>
      <c s="243" r="I48"/>
    </row>
  </sheetData>
  <mergeCells count="17">
    <mergeCell ref="C24:G24"/>
    <mergeCell ref="C25:G25"/>
    <mergeCell ref="C26:G26"/>
    <mergeCell ref="E28:G28"/>
    <mergeCell ref="C31:H31"/>
    <mergeCell ref="C32:H32"/>
    <mergeCell ref="C35:H35"/>
    <mergeCell ref="C36:H36"/>
    <mergeCell ref="C39:H39"/>
    <mergeCell ref="C40:H40"/>
    <mergeCell ref="C41:H41"/>
    <mergeCell ref="C42:D42"/>
    <mergeCell ref="C44:E44"/>
    <mergeCell ref="C45:E45"/>
    <mergeCell ref="C46:E46"/>
    <mergeCell ref="C47:E47"/>
    <mergeCell ref="C48:E48"/>
  </mergeCells>
</worksheet>
</file>