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#01 Input" sheetId="1" state="visible" r:id="rId1"/>
    <sheet name="#02 Docu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MM"/>
  </numFmts>
  <fonts count="3">
    <font>
      <name val="Calibri"/>
      <family val="2"/>
      <color theme="1"/>
      <sz val="11"/>
      <scheme val="minor"/>
    </font>
    <font/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165" fontId="1" fillId="0" borderId="1"/>
    <xf numFmtId="0" fontId="2" fillId="0" borderId="0"/>
  </cellStyleXfs>
  <cellXfs count="4">
    <xf numFmtId="0" fontId="0" fillId="0" borderId="0" pivotButton="0" quotePrefix="0" xfId="0"/>
    <xf numFmtId="165" fontId="1" fillId="0" borderId="1" pivotButton="0" quotePrefix="0" xfId="1"/>
    <xf numFmtId="0" fontId="2" fillId="0" borderId="0" pivotButton="0" quotePrefix="0" xfId="2"/>
    <xf numFmtId="4" fontId="0" fillId="0" borderId="0" pivotButton="0" quotePrefix="0" xfId="0"/>
  </cellXfs>
  <cellStyles count="3">
    <cellStyle name="Normal" xfId="0" builtinId="0" hidden="0"/>
    <cellStyle name="datetime" xfId="1" hidden="0"/>
    <cellStyle name="Hyperlink" xfId="2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_46675576bca011ebb01f56152c17556c" displayName="Table_46675576bca011ebb01f56152c17556c" ref="A1:N990" headerRowCount="1">
  <autoFilter ref="A1:N990"/>
  <tableColumns count="14">
    <tableColumn id="1" name="date"/>
    <tableColumn id="2" name="category"/>
    <tableColumn id="3" name="section"/>
    <tableColumn id="4" name="publisher"/>
    <tableColumn id="5" name="author"/>
    <tableColumn id="6" name="title"/>
    <tableColumn id="7" name="content_url"/>
    <tableColumn id="8" name="attachment"/>
    <tableColumn id="9" name="industry.label"/>
    <tableColumn id="10" name="industry.score"/>
    <tableColumn id="11" name="industry.name"/>
    <tableColumn id="12" name="polarity.label"/>
    <tableColumn id="13" name="polarity.score"/>
    <tableColumn id="14" name="polarity.nam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7" customWidth="1" min="1" max="1"/>
    <col width="348" customWidth="1" min="2" max="2"/>
  </cols>
  <sheetData>
    <row r="1">
      <c r="A1" t="inlineStr">
        <is>
          <t>Interpretation</t>
        </is>
      </c>
      <c r="B1" t="inlineStr">
        <is>
          <t>DocumentSearch(["news"], ["economy", "tech"], "전기차", date_from=2021-04-24, date_to=2021-05-24, page="all", count=10)</t>
        </is>
      </c>
    </row>
    <row r="2">
      <c r="A2" t="inlineStr">
        <is>
          <t>Interpretation (Detailed)</t>
        </is>
      </c>
      <c r="B2" t="inlineStr">
        <is>
          <t>&lt;Function&gt;DocumentSearch&lt;/Function&gt;([&lt;String&gt;"news"&lt;/String&gt;], [&lt;String&gt;"economy"&lt;/String&gt;, &lt;String&gt;"tech"&lt;/String&gt;], &lt;String&gt;"전기차"&lt;/String&gt;, &lt;Keyword&gt;date_from&lt;/Keyword&gt;=&lt;Date&gt;2021-04-24&lt;/Date&gt;, &lt;Keyword&gt;date_to&lt;/Keyword&gt;=&lt;Date&gt;2021-05-24&lt;/Date&gt;, &lt;Keyword&gt;page&lt;/Keyword&gt;=&lt;String&gt;"all"&lt;/String&gt;, &lt;Keyword&gt;count&lt;/Keyword&gt;=&lt;Integer&gt;10&lt;/Integer&gt;)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90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9" customWidth="1" min="3" max="3"/>
    <col width="14" customWidth="1" min="4" max="4"/>
    <col width="10" customWidth="1" min="5" max="5"/>
    <col width="133" customWidth="1" min="6" max="6"/>
    <col width="132" customWidth="1" min="7" max="7"/>
    <col width="12" customWidth="1" min="8" max="8"/>
    <col width="16" customWidth="1" min="9" max="9"/>
    <col width="16" customWidth="1" min="10" max="10"/>
    <col width="50" customWidth="1" min="11" max="11"/>
    <col width="16" customWidth="1" min="12" max="12"/>
    <col width="16" customWidth="1" min="13" max="13"/>
    <col width="15" customWidth="1" min="14" max="14"/>
  </cols>
  <sheetData>
    <row r="1">
      <c r="A1" t="inlineStr">
        <is>
          <t>date</t>
        </is>
      </c>
      <c r="B1" t="inlineStr">
        <is>
          <t>category</t>
        </is>
      </c>
      <c r="C1" t="inlineStr">
        <is>
          <t>section</t>
        </is>
      </c>
      <c r="D1" t="inlineStr">
        <is>
          <t>publisher</t>
        </is>
      </c>
      <c r="E1" t="inlineStr">
        <is>
          <t>author</t>
        </is>
      </c>
      <c r="F1" t="inlineStr">
        <is>
          <t>title</t>
        </is>
      </c>
      <c r="G1" t="inlineStr">
        <is>
          <t>content_url</t>
        </is>
      </c>
      <c r="H1" t="inlineStr">
        <is>
          <t>attachment</t>
        </is>
      </c>
      <c r="I1" t="inlineStr">
        <is>
          <t>industry.label</t>
        </is>
      </c>
      <c r="J1" t="inlineStr">
        <is>
          <t>industry.score</t>
        </is>
      </c>
      <c r="K1" t="inlineStr">
        <is>
          <t>industry.name</t>
        </is>
      </c>
      <c r="L1" t="inlineStr">
        <is>
          <t>polarity.label</t>
        </is>
      </c>
      <c r="M1" t="inlineStr">
        <is>
          <t>polarity.score</t>
        </is>
      </c>
      <c r="N1" t="inlineStr">
        <is>
          <t>polarity.name</t>
        </is>
      </c>
    </row>
    <row r="2">
      <c r="A2" s="1" t="inlineStr">
        <is>
          <t>2021-05-24</t>
        </is>
      </c>
      <c r="B2" t="inlineStr">
        <is>
          <t>news</t>
        </is>
      </c>
      <c r="C2" t="inlineStr">
        <is>
          <t>economy</t>
        </is>
      </c>
      <c r="D2" t="inlineStr">
        <is>
          <t>부산일보</t>
        </is>
      </c>
      <c r="E2" t="inlineStr">
        <is>
          <t>송현수</t>
        </is>
      </c>
      <c r="F2" t="inlineStr">
        <is>
          <t>조선·미래차 등 6개 분야 '디지털화 선도 R＆D 사업' 착수</t>
        </is>
      </c>
      <c r="G2" s="2">
        <f>HYPERLINK("http://www.busan.com/view/busan/view.php?code=2021052412562311681", "Go to Website")</f>
        <v/>
      </c>
      <c r="H2" t="inlineStr"/>
      <c r="I2" t="inlineStr">
        <is>
          <t>M71</t>
        </is>
      </c>
      <c r="J2" s="3" t="n">
        <v>0.751</v>
      </c>
      <c r="K2" t="inlineStr">
        <is>
          <t>전문 서비스업</t>
        </is>
      </c>
      <c r="L2" t="inlineStr"/>
      <c r="M2" t="inlineStr"/>
      <c r="N2" t="inlineStr"/>
    </row>
    <row r="3">
      <c r="A3" s="1" t="inlineStr">
        <is>
          <t>2021-05-24</t>
        </is>
      </c>
      <c r="B3" t="inlineStr">
        <is>
          <t>news</t>
        </is>
      </c>
      <c r="C3" t="inlineStr">
        <is>
          <t>economy</t>
        </is>
      </c>
      <c r="D3" t="inlineStr">
        <is>
          <t>한국일보</t>
        </is>
      </c>
      <c r="E3" t="inlineStr">
        <is>
          <t>김기중</t>
        </is>
      </c>
      <c r="F3" t="inlineStr">
        <is>
          <t>정의선 회장 "자동차 생산부터 운행, 폐기까지 탄소중립 추진"</t>
        </is>
      </c>
      <c r="G3" s="2">
        <f>HYPERLINK("https://hankookilbo.com/News/Read/A2021052422480000516?did=NA", "Go to Website")</f>
        <v/>
      </c>
      <c r="H3" t="inlineStr"/>
      <c r="I3" t="inlineStr">
        <is>
          <t>C30</t>
        </is>
      </c>
      <c r="J3" s="3" t="n">
        <v>0.994</v>
      </c>
      <c r="K3" t="inlineStr">
        <is>
          <t>자동차 및 트레일러 제조업</t>
        </is>
      </c>
      <c r="L3" t="inlineStr"/>
      <c r="M3" t="inlineStr"/>
      <c r="N3" t="inlineStr"/>
    </row>
    <row r="4">
      <c r="A4" s="1" t="inlineStr">
        <is>
          <t>2021-05-24</t>
        </is>
      </c>
      <c r="B4" t="inlineStr">
        <is>
          <t>news</t>
        </is>
      </c>
      <c r="C4" t="inlineStr">
        <is>
          <t>economy</t>
        </is>
      </c>
      <c r="D4" t="inlineStr">
        <is>
          <t>연합뉴스</t>
        </is>
      </c>
      <c r="E4" t="inlineStr">
        <is>
          <t>장하나</t>
        </is>
      </c>
      <c r="F4" t="inlineStr">
        <is>
          <t>정의선 "자동차 생산·운행·폐기 全 단계에서 탄소중립 추진"</t>
        </is>
      </c>
      <c r="G4" s="2">
        <f>HYPERLINK("http://yna.kr/AKR20210524157000003?did=1195m", "Go to Website")</f>
        <v/>
      </c>
      <c r="H4" t="inlineStr"/>
      <c r="I4" t="inlineStr">
        <is>
          <t>C30</t>
        </is>
      </c>
      <c r="J4" s="3" t="n">
        <v>0.996</v>
      </c>
      <c r="K4" t="inlineStr">
        <is>
          <t>자동차 및 트레일러 제조업</t>
        </is>
      </c>
      <c r="L4" t="inlineStr"/>
      <c r="M4" t="inlineStr"/>
      <c r="N4" t="inlineStr"/>
    </row>
    <row r="5">
      <c r="A5" s="1" t="inlineStr">
        <is>
          <t>2021-05-24</t>
        </is>
      </c>
      <c r="B5" t="inlineStr">
        <is>
          <t>news</t>
        </is>
      </c>
      <c r="C5" t="inlineStr">
        <is>
          <t>economy</t>
        </is>
      </c>
      <c r="D5" t="inlineStr">
        <is>
          <t>SBS</t>
        </is>
      </c>
      <c r="E5" t="inlineStr">
        <is>
          <t>심우섭</t>
        </is>
      </c>
      <c r="F5" t="inlineStr">
        <is>
          <t>[뭘스트리트33화] 불안불안 테슬라 손절할까?…집중분석 듣고 판단하시죠</t>
        </is>
      </c>
      <c r="G5" s="2">
        <f>HYPERLINK("https://news.sbs.co.kr/news/endPage.do?news_id=N1006329529", "Go to Website")</f>
        <v/>
      </c>
      <c r="H5" t="inlineStr"/>
      <c r="I5" t="inlineStr">
        <is>
          <t>C29</t>
        </is>
      </c>
      <c r="J5" s="3" t="n">
        <v>0.282</v>
      </c>
      <c r="K5" t="inlineStr">
        <is>
          <t>기타 기계 및 장비 제조업</t>
        </is>
      </c>
      <c r="L5" t="inlineStr"/>
      <c r="M5" t="inlineStr"/>
      <c r="N5" t="inlineStr"/>
    </row>
    <row r="6">
      <c r="A6" s="1" t="inlineStr">
        <is>
          <t>2021-05-24</t>
        </is>
      </c>
      <c r="B6" t="inlineStr">
        <is>
          <t>news</t>
        </is>
      </c>
      <c r="C6" t="inlineStr">
        <is>
          <t>economy</t>
        </is>
      </c>
      <c r="D6" t="inlineStr">
        <is>
          <t>뉴시스</t>
        </is>
      </c>
      <c r="E6" t="inlineStr">
        <is>
          <t>천민아</t>
        </is>
      </c>
      <c r="F6" t="inlineStr">
        <is>
          <t>테슬라 화재 사망사고…검찰, 경찰에 보완수사 요청</t>
        </is>
      </c>
      <c r="G6" s="2">
        <f>HYPERLINK("http://www.newsis.com/view/?id=NISX20210524_0001451651&amp;cID=10201&amp;pID=10200", "Go to Website")</f>
        <v/>
      </c>
      <c r="H6" t="inlineStr"/>
      <c r="I6" t="inlineStr">
        <is>
          <t>M71</t>
        </is>
      </c>
      <c r="J6" s="3" t="n">
        <v>0.868</v>
      </c>
      <c r="K6" t="inlineStr">
        <is>
          <t>전문 서비스업</t>
        </is>
      </c>
      <c r="L6" t="inlineStr"/>
      <c r="M6" t="inlineStr"/>
      <c r="N6" t="inlineStr"/>
    </row>
    <row r="7">
      <c r="A7" s="1" t="inlineStr">
        <is>
          <t>2021-05-24</t>
        </is>
      </c>
      <c r="B7" t="inlineStr">
        <is>
          <t>news</t>
        </is>
      </c>
      <c r="C7" t="inlineStr">
        <is>
          <t>economy</t>
        </is>
      </c>
      <c r="D7" t="inlineStr">
        <is>
          <t>매일경제</t>
        </is>
      </c>
      <c r="E7" t="inlineStr">
        <is>
          <t>매경닷컴</t>
        </is>
      </c>
      <c r="F7" t="inlineStr">
        <is>
          <t>정의선 "현대차그룹, 도심항공 로봇 수소선박 만들겠다"</t>
        </is>
      </c>
      <c r="G7" s="2">
        <f>HYPERLINK("http://news.mk.co.kr/newsRead.php?no=499803&amp;year=2021", "Go to Website")</f>
        <v/>
      </c>
      <c r="H7" t="inlineStr"/>
      <c r="I7" t="inlineStr">
        <is>
          <t>H49</t>
        </is>
      </c>
      <c r="J7" s="3" t="n">
        <v>0.699</v>
      </c>
      <c r="K7" t="inlineStr">
        <is>
          <t>육상 운송 및 파이프라인 운송업</t>
        </is>
      </c>
      <c r="L7" t="inlineStr"/>
      <c r="M7" t="inlineStr"/>
      <c r="N7" t="inlineStr"/>
    </row>
    <row r="8">
      <c r="A8" s="1" t="inlineStr">
        <is>
          <t>2021-05-24</t>
        </is>
      </c>
      <c r="B8" t="inlineStr">
        <is>
          <t>news</t>
        </is>
      </c>
      <c r="C8" t="inlineStr">
        <is>
          <t>economy</t>
        </is>
      </c>
      <c r="D8" t="inlineStr">
        <is>
          <t>서울경제</t>
        </is>
      </c>
      <c r="E8" t="inlineStr">
        <is>
          <t>한재영</t>
        </is>
      </c>
      <c r="F8" t="inlineStr">
        <is>
          <t>LG 印尼에 1.3조 배터리 공장 짓는다</t>
        </is>
      </c>
      <c r="G8" s="2">
        <f>HYPERLINK("https://www.sedaily.com/NewsView/22MHJBUTQP", "Go to Website")</f>
        <v/>
      </c>
      <c r="H8" t="inlineStr"/>
      <c r="I8" t="inlineStr">
        <is>
          <t>C26</t>
        </is>
      </c>
      <c r="J8" s="3" t="n">
        <v>0.515</v>
      </c>
      <c r="K8" t="inlineStr">
        <is>
          <t>전자 부품, 컴퓨터, 영상, 음향 및 통신장비 제조업</t>
        </is>
      </c>
      <c r="L8" t="inlineStr">
        <is>
          <t>1</t>
        </is>
      </c>
      <c r="M8" s="3" t="n">
        <v>0.897</v>
      </c>
      <c r="N8" t="inlineStr">
        <is>
          <t>긍정</t>
        </is>
      </c>
    </row>
    <row r="9">
      <c r="A9" s="1" t="inlineStr">
        <is>
          <t>2021-05-24</t>
        </is>
      </c>
      <c r="B9" t="inlineStr">
        <is>
          <t>news</t>
        </is>
      </c>
      <c r="C9" t="inlineStr">
        <is>
          <t>economy</t>
        </is>
      </c>
      <c r="D9" t="inlineStr">
        <is>
          <t>한국경제</t>
        </is>
      </c>
      <c r="E9" t="inlineStr">
        <is>
          <t>김일규</t>
        </is>
      </c>
      <c r="F9" t="inlineStr">
        <is>
          <t>정의선 "車 생산·운행·폐기 全과정 탄소중립"</t>
        </is>
      </c>
      <c r="G9" s="2">
        <f>HYPERLINK("https://www.hankyung.com/economy/article/2021052445141", "Go to Website")</f>
        <v/>
      </c>
      <c r="H9" t="inlineStr"/>
      <c r="I9" t="inlineStr">
        <is>
          <t>C30</t>
        </is>
      </c>
      <c r="J9" s="3" t="n">
        <v>0.512</v>
      </c>
      <c r="K9" t="inlineStr">
        <is>
          <t>자동차 및 트레일러 제조업</t>
        </is>
      </c>
      <c r="L9" t="inlineStr">
        <is>
          <t>0</t>
        </is>
      </c>
      <c r="M9" s="3" t="n">
        <v>0.996</v>
      </c>
      <c r="N9" t="inlineStr">
        <is>
          <t>중립</t>
        </is>
      </c>
    </row>
    <row r="10">
      <c r="A10" s="1" t="inlineStr">
        <is>
          <t>2021-05-24</t>
        </is>
      </c>
      <c r="B10" t="inlineStr">
        <is>
          <t>news</t>
        </is>
      </c>
      <c r="C10" t="inlineStr">
        <is>
          <t>economy</t>
        </is>
      </c>
      <c r="D10" t="inlineStr">
        <is>
          <t>더팩트</t>
        </is>
      </c>
      <c r="E10" t="inlineStr">
        <is>
          <t>서재근</t>
        </is>
      </c>
      <c r="F10" t="inlineStr">
        <is>
          <t>정의선 현대차 회장 "경영 전 과정에서 탄소중립 달성할 것"</t>
        </is>
      </c>
      <c r="G10" s="2">
        <f>HYPERLINK("http://news.tf.co.kr/read/economy/1863157.htm", "Go to Website")</f>
        <v/>
      </c>
      <c r="H10" t="inlineStr"/>
      <c r="I10" t="inlineStr">
        <is>
          <t>H49</t>
        </is>
      </c>
      <c r="J10" s="3" t="n">
        <v>0.776</v>
      </c>
      <c r="K10" t="inlineStr">
        <is>
          <t>육상 운송 및 파이프라인 운송업</t>
        </is>
      </c>
      <c r="L10" t="inlineStr">
        <is>
          <t>0</t>
        </is>
      </c>
      <c r="M10" s="3" t="n">
        <v>0.98</v>
      </c>
      <c r="N10" t="inlineStr">
        <is>
          <t>중립</t>
        </is>
      </c>
    </row>
    <row r="11">
      <c r="A11" s="1" t="inlineStr">
        <is>
          <t>2021-05-24</t>
        </is>
      </c>
      <c r="B11" t="inlineStr">
        <is>
          <t>news</t>
        </is>
      </c>
      <c r="C11" t="inlineStr">
        <is>
          <t>economy</t>
        </is>
      </c>
      <c r="D11" t="inlineStr">
        <is>
          <t>국민일보</t>
        </is>
      </c>
      <c r="E11" t="inlineStr">
        <is>
          <t>박구인</t>
        </is>
      </c>
      <c r="F11" t="inlineStr">
        <is>
          <t>정의선 회장 “미래의 현대차그룹은 車기업 그 이상…”</t>
        </is>
      </c>
      <c r="G11" s="2">
        <f>HYPERLINK("http://news.kmib.co.kr/article/view.asp?arcid=0015877371&amp;code=61141111", "Go to Website")</f>
        <v/>
      </c>
      <c r="H11" t="inlineStr"/>
      <c r="I11" t="inlineStr">
        <is>
          <t>H49</t>
        </is>
      </c>
      <c r="J11" s="3" t="n">
        <v>0.952</v>
      </c>
      <c r="K11" t="inlineStr">
        <is>
          <t>육상 운송 및 파이프라인 운송업</t>
        </is>
      </c>
      <c r="L11" t="inlineStr"/>
      <c r="M11" t="inlineStr"/>
      <c r="N11" t="inlineStr"/>
    </row>
    <row r="12">
      <c r="A12" s="1" t="inlineStr">
        <is>
          <t>2021-05-24</t>
        </is>
      </c>
      <c r="B12" t="inlineStr">
        <is>
          <t>news</t>
        </is>
      </c>
      <c r="C12" t="inlineStr">
        <is>
          <t>economy</t>
        </is>
      </c>
      <c r="D12" t="inlineStr">
        <is>
          <t>조선비즈</t>
        </is>
      </c>
      <c r="E12" t="inlineStr">
        <is>
          <t>이재은</t>
        </is>
      </c>
      <c r="F12" t="inlineStr">
        <is>
          <t>LG, 인도네시아에 1.3조 배터리 공장 건설…“현대차에 공급”</t>
        </is>
      </c>
      <c r="G12" s="2">
        <f>HYPERLINK("https://biz.chosun.com/industry/company/2021/05/24/KKL5WDMRJFHDHJSV4IXQP7AMAU/?utm_medium=original&amp;utm_campaign=biz", "Go to Website")</f>
        <v/>
      </c>
      <c r="H12" t="inlineStr"/>
      <c r="I12" t="inlineStr">
        <is>
          <t>K64</t>
        </is>
      </c>
      <c r="J12" s="3" t="n">
        <v>0.996</v>
      </c>
      <c r="K12" t="inlineStr">
        <is>
          <t>금융업</t>
        </is>
      </c>
      <c r="L12" t="inlineStr"/>
      <c r="M12" t="inlineStr"/>
      <c r="N12" t="inlineStr"/>
    </row>
    <row r="13">
      <c r="A13" s="1" t="inlineStr">
        <is>
          <t>2021-05-24</t>
        </is>
      </c>
      <c r="B13" t="inlineStr">
        <is>
          <t>news</t>
        </is>
      </c>
      <c r="C13" t="inlineStr">
        <is>
          <t>economy</t>
        </is>
      </c>
      <c r="D13" t="inlineStr">
        <is>
          <t>데일리안</t>
        </is>
      </c>
      <c r="E13" t="inlineStr">
        <is>
          <t>박영국</t>
        </is>
      </c>
      <c r="F13" t="inlineStr">
        <is>
          <t>정의선 회장 "제조·운영·폐기 전 과정 탄소중립"…P4G정상회의 연설</t>
        </is>
      </c>
      <c r="G13" s="2">
        <f>HYPERLINK("https://www.dailian.co.kr/news/view/994237/", "Go to Website")</f>
        <v/>
      </c>
      <c r="H13" t="inlineStr"/>
      <c r="I13" t="inlineStr">
        <is>
          <t>C30</t>
        </is>
      </c>
      <c r="J13" s="3" t="n">
        <v>0.931</v>
      </c>
      <c r="K13" t="inlineStr">
        <is>
          <t>자동차 및 트레일러 제조업</t>
        </is>
      </c>
      <c r="L13" t="inlineStr"/>
      <c r="M13" t="inlineStr"/>
      <c r="N13" t="inlineStr"/>
    </row>
    <row r="14">
      <c r="A14" s="1" t="inlineStr">
        <is>
          <t>2021-05-24</t>
        </is>
      </c>
      <c r="B14" t="inlineStr">
        <is>
          <t>news</t>
        </is>
      </c>
      <c r="C14" t="inlineStr">
        <is>
          <t>economy</t>
        </is>
      </c>
      <c r="D14" t="inlineStr">
        <is>
          <t>뉴스1</t>
        </is>
      </c>
      <c r="E14" t="inlineStr">
        <is>
          <t>신건웅</t>
        </is>
      </c>
      <c r="F14" t="inlineStr">
        <is>
          <t>'탄소중립' 약속한 정의선 현대차 회장…"지속가능 솔루션 제공할 것"</t>
        </is>
      </c>
      <c r="G14" s="2">
        <f>HYPERLINK("https://www.news1.kr/articles/?4316401", "Go to Website")</f>
        <v/>
      </c>
      <c r="H14" t="inlineStr"/>
      <c r="I14" t="inlineStr">
        <is>
          <t>H52</t>
        </is>
      </c>
      <c r="J14" s="3" t="n">
        <v>0.97</v>
      </c>
      <c r="K14" t="inlineStr">
        <is>
          <t>창고 및 운송관련 서비스업</t>
        </is>
      </c>
      <c r="L14" t="inlineStr">
        <is>
          <t>0</t>
        </is>
      </c>
      <c r="M14" s="3" t="n">
        <v>0.963</v>
      </c>
      <c r="N14" t="inlineStr">
        <is>
          <t>중립</t>
        </is>
      </c>
    </row>
    <row r="15">
      <c r="A15" s="1" t="inlineStr">
        <is>
          <t>2021-05-24</t>
        </is>
      </c>
      <c r="B15" t="inlineStr">
        <is>
          <t>news</t>
        </is>
      </c>
      <c r="C15" t="inlineStr">
        <is>
          <t>economy</t>
        </is>
      </c>
      <c r="D15" t="inlineStr">
        <is>
          <t>한국경제TV</t>
        </is>
      </c>
      <c r="E15" t="inlineStr">
        <is>
          <t>신인규</t>
        </is>
      </c>
      <c r="F15" t="inlineStr">
        <is>
          <t>비트코인·테슬라, '진짜' 왜 빠지는 걸까? [진짜 미국주식]</t>
        </is>
      </c>
      <c r="G15" s="2">
        <f>HYPERLINK("http://www.wowtv.co.kr/NewsCenter/News/Read?articleId=A202105240366&amp;t=NN", "Go to Website")</f>
        <v/>
      </c>
      <c r="H15" t="inlineStr"/>
      <c r="I15" t="inlineStr">
        <is>
          <t>100</t>
        </is>
      </c>
      <c r="J15" s="3" t="n">
        <v>0.748</v>
      </c>
      <c r="K15" t="inlineStr">
        <is>
          <t>분류 제외, 기타</t>
        </is>
      </c>
      <c r="L15" t="inlineStr"/>
      <c r="M15" t="inlineStr"/>
      <c r="N15" t="inlineStr"/>
    </row>
    <row r="16">
      <c r="A16" s="1" t="inlineStr">
        <is>
          <t>2021-05-24</t>
        </is>
      </c>
      <c r="B16" t="inlineStr">
        <is>
          <t>news</t>
        </is>
      </c>
      <c r="C16" t="inlineStr">
        <is>
          <t>economy</t>
        </is>
      </c>
      <c r="D16" t="inlineStr">
        <is>
          <t>파이낸셜뉴스</t>
        </is>
      </c>
      <c r="E16" t="inlineStr">
        <is>
          <t>최용준</t>
        </is>
      </c>
      <c r="F16" t="inlineStr">
        <is>
          <t>정의선 현대차 회장 “자동차 제조 전 과정 탄소중립 달성할 것”</t>
        </is>
      </c>
      <c r="G16" s="2">
        <f>HYPERLINK("http://www.fnnews.com/news/202105242127253123", "Go to Website")</f>
        <v/>
      </c>
      <c r="H16" t="inlineStr"/>
      <c r="I16" t="inlineStr">
        <is>
          <t>H49</t>
        </is>
      </c>
      <c r="J16" s="3" t="n">
        <v>0.763</v>
      </c>
      <c r="K16" t="inlineStr">
        <is>
          <t>육상 운송 및 파이프라인 운송업</t>
        </is>
      </c>
      <c r="L16" t="inlineStr">
        <is>
          <t>0</t>
        </is>
      </c>
      <c r="M16" s="3" t="n">
        <v>0.9419999999999999</v>
      </c>
      <c r="N16" t="inlineStr">
        <is>
          <t>중립</t>
        </is>
      </c>
    </row>
    <row r="17">
      <c r="A17" s="1" t="inlineStr">
        <is>
          <t>2021-05-24</t>
        </is>
      </c>
      <c r="B17" t="inlineStr">
        <is>
          <t>news</t>
        </is>
      </c>
      <c r="C17" t="inlineStr">
        <is>
          <t>economy</t>
        </is>
      </c>
      <c r="D17" t="inlineStr">
        <is>
          <t>뉴시스</t>
        </is>
      </c>
      <c r="E17" t="inlineStr">
        <is>
          <t>박주연</t>
        </is>
      </c>
      <c r="F17" t="inlineStr">
        <is>
          <t>정의선 회장 "현대차, 제조·운영·폐기 전 과정 탄소중립 이룰 것"(종합)</t>
        </is>
      </c>
      <c r="G17" s="2">
        <f>HYPERLINK("http://www.newsis.com/view/?id=NISX20210524_0001451637&amp;cID=13001&amp;pID=13000", "Go to Website")</f>
        <v/>
      </c>
      <c r="H17" t="inlineStr"/>
      <c r="I17" t="inlineStr">
        <is>
          <t>H49</t>
        </is>
      </c>
      <c r="J17" s="3" t="n">
        <v>0.853</v>
      </c>
      <c r="K17" t="inlineStr">
        <is>
          <t>육상 운송 및 파이프라인 운송업</t>
        </is>
      </c>
      <c r="L17" t="inlineStr">
        <is>
          <t>0</t>
        </is>
      </c>
      <c r="M17" s="3" t="n">
        <v>0.972</v>
      </c>
      <c r="N17" t="inlineStr">
        <is>
          <t>중립</t>
        </is>
      </c>
    </row>
    <row r="18">
      <c r="A18" s="1" t="inlineStr">
        <is>
          <t>2021-05-24</t>
        </is>
      </c>
      <c r="B18" t="inlineStr">
        <is>
          <t>news</t>
        </is>
      </c>
      <c r="C18" t="inlineStr">
        <is>
          <t>economy</t>
        </is>
      </c>
      <c r="D18" t="inlineStr">
        <is>
          <t>뉴시스</t>
        </is>
      </c>
      <c r="E18" t="inlineStr">
        <is>
          <t>박주연</t>
        </is>
      </c>
      <c r="F18" t="inlineStr">
        <is>
          <t>정의선 회장 "현대차, 제조·운영·폐기 전 과정 탄소중립 이룰 것"</t>
        </is>
      </c>
      <c r="G18" s="2">
        <f>HYPERLINK("http://www.newsis.com/view/?id=NISX20210524_0001451634&amp;cID=13001&amp;pID=13000", "Go to Website")</f>
        <v/>
      </c>
      <c r="H18" t="inlineStr"/>
      <c r="I18" t="inlineStr">
        <is>
          <t>C31</t>
        </is>
      </c>
      <c r="J18" s="3" t="n">
        <v>0.416</v>
      </c>
      <c r="K18" t="inlineStr">
        <is>
          <t>기타 운송장비 제조업</t>
        </is>
      </c>
      <c r="L18" t="inlineStr">
        <is>
          <t>0</t>
        </is>
      </c>
      <c r="M18" s="3" t="n">
        <v>0.976</v>
      </c>
      <c r="N18" t="inlineStr">
        <is>
          <t>중립</t>
        </is>
      </c>
    </row>
    <row r="19">
      <c r="A19" s="1" t="inlineStr">
        <is>
          <t>2021-05-24</t>
        </is>
      </c>
      <c r="B19" t="inlineStr">
        <is>
          <t>news</t>
        </is>
      </c>
      <c r="C19" t="inlineStr">
        <is>
          <t>economy</t>
        </is>
      </c>
      <c r="D19" t="inlineStr">
        <is>
          <t>세계일보</t>
        </is>
      </c>
      <c r="E19" t="inlineStr">
        <is>
          <t>이정우</t>
        </is>
      </c>
      <c r="F19" t="inlineStr">
        <is>
          <t>주력산업 디지털화 연구·개발 속도낸다</t>
        </is>
      </c>
      <c r="G19" s="2">
        <f>HYPERLINK("http://www.segye.com/content/html/2021/05/24/20210524513403.html", "Go to Website")</f>
        <v/>
      </c>
      <c r="H19" t="inlineStr"/>
      <c r="I19" t="inlineStr">
        <is>
          <t>M71</t>
        </is>
      </c>
      <c r="J19" s="3" t="n">
        <v>0.876</v>
      </c>
      <c r="K19" t="inlineStr">
        <is>
          <t>전문 서비스업</t>
        </is>
      </c>
      <c r="L19" t="inlineStr"/>
      <c r="M19" t="inlineStr"/>
      <c r="N19" t="inlineStr"/>
    </row>
    <row r="20">
      <c r="A20" s="1" t="inlineStr">
        <is>
          <t>2021-05-24</t>
        </is>
      </c>
      <c r="B20" t="inlineStr">
        <is>
          <t>news</t>
        </is>
      </c>
      <c r="C20" t="inlineStr">
        <is>
          <t>economy</t>
        </is>
      </c>
      <c r="D20" t="inlineStr">
        <is>
          <t>서울경제</t>
        </is>
      </c>
      <c r="E20" t="inlineStr">
        <is>
          <t>조지원</t>
        </is>
      </c>
      <c r="F20" t="inlineStr">
        <is>
          <t>정의선 현대차 회장 "수소 모빌리티로 탄소중립 앞장설 것"</t>
        </is>
      </c>
      <c r="G20" s="2">
        <f>HYPERLINK("https://www.sedaily.com/NewsView/22MHINM86G", "Go to Website")</f>
        <v/>
      </c>
      <c r="H20" t="inlineStr"/>
      <c r="I20" t="inlineStr">
        <is>
          <t>C30</t>
        </is>
      </c>
      <c r="J20" s="3" t="n">
        <v>0.984</v>
      </c>
      <c r="K20" t="inlineStr">
        <is>
          <t>자동차 및 트레일러 제조업</t>
        </is>
      </c>
      <c r="L20" t="inlineStr">
        <is>
          <t>0</t>
        </is>
      </c>
      <c r="M20" s="3" t="n">
        <v>0.953</v>
      </c>
      <c r="N20" t="inlineStr">
        <is>
          <t>중립</t>
        </is>
      </c>
    </row>
    <row r="21">
      <c r="A21" s="1" t="inlineStr">
        <is>
          <t>2021-05-24</t>
        </is>
      </c>
      <c r="B21" t="inlineStr">
        <is>
          <t>news</t>
        </is>
      </c>
      <c r="C21" t="inlineStr">
        <is>
          <t>economy</t>
        </is>
      </c>
      <c r="D21" t="inlineStr">
        <is>
          <t>경향신문</t>
        </is>
      </c>
      <c r="E21" t="inlineStr">
        <is>
          <t>정유미</t>
        </is>
      </c>
      <c r="F21" t="inlineStr">
        <is>
          <t>광고계 ‘BTS 바람, 올여름에도 불어라’</t>
        </is>
      </c>
      <c r="G21" s="2">
        <f>HYPERLINK("http://news.khan.co.kr/kh_news/khan_art_view.html?artid=202105242102015&amp;code=920100", "Go to Website")</f>
        <v/>
      </c>
      <c r="H21" t="inlineStr"/>
      <c r="I21" t="inlineStr">
        <is>
          <t>J59</t>
        </is>
      </c>
      <c r="J21" s="3" t="n">
        <v>0.998</v>
      </c>
      <c r="K21" t="inlineStr">
        <is>
          <t>영상ㆍ오디오 기록물 제작 및 배급업</t>
        </is>
      </c>
      <c r="L21" t="inlineStr">
        <is>
          <t>0</t>
        </is>
      </c>
      <c r="M21" s="3" t="n">
        <v>0.989</v>
      </c>
      <c r="N21" t="inlineStr">
        <is>
          <t>중립</t>
        </is>
      </c>
    </row>
    <row r="22">
      <c r="A22" s="1" t="inlineStr">
        <is>
          <t>2021-05-24</t>
        </is>
      </c>
      <c r="B22" t="inlineStr">
        <is>
          <t>news</t>
        </is>
      </c>
      <c r="C22" t="inlineStr">
        <is>
          <t>economy</t>
        </is>
      </c>
      <c r="D22" t="inlineStr">
        <is>
          <t>한국일보</t>
        </is>
      </c>
      <c r="E22" t="inlineStr">
        <is>
          <t>류종은</t>
        </is>
      </c>
      <c r="F22" t="inlineStr">
        <is>
          <t>반도체·코로나 위기 겹친 현대차·기아…"공장 멈추고 신차 출시 연기"</t>
        </is>
      </c>
      <c r="G22" s="2">
        <f>HYPERLINK("https://hankookilbo.com/News/Read/A2021052409500001688?did=NA", "Go to Website")</f>
        <v/>
      </c>
      <c r="H22" t="inlineStr"/>
      <c r="I22" t="inlineStr">
        <is>
          <t>C30</t>
        </is>
      </c>
      <c r="J22" s="3" t="n">
        <v>0.967</v>
      </c>
      <c r="K22" t="inlineStr">
        <is>
          <t>자동차 및 트레일러 제조업</t>
        </is>
      </c>
      <c r="L22" t="inlineStr"/>
      <c r="M22" t="inlineStr"/>
      <c r="N22" t="inlineStr"/>
    </row>
    <row r="23">
      <c r="A23" s="1" t="inlineStr">
        <is>
          <t>2021-05-24</t>
        </is>
      </c>
      <c r="B23" t="inlineStr">
        <is>
          <t>news</t>
        </is>
      </c>
      <c r="C23" t="inlineStr">
        <is>
          <t>economy</t>
        </is>
      </c>
      <c r="D23" t="inlineStr">
        <is>
          <t>국민일보</t>
        </is>
      </c>
      <c r="E23" t="inlineStr">
        <is>
          <t>박구인</t>
        </is>
      </c>
      <c r="F23" t="inlineStr">
        <is>
          <t>정의선 만난 이재명 “공정한 기업환경 조성 도울 것”</t>
        </is>
      </c>
      <c r="G23" s="2">
        <f>HYPERLINK("http://news.kmib.co.kr/article/view.asp?arcid=0015877277&amp;code=61141111", "Go to Website")</f>
        <v/>
      </c>
      <c r="H23" t="inlineStr"/>
      <c r="I23" t="inlineStr">
        <is>
          <t>C30</t>
        </is>
      </c>
      <c r="J23" s="3" t="n">
        <v>0.996</v>
      </c>
      <c r="K23" t="inlineStr">
        <is>
          <t>자동차 및 트레일러 제조업</t>
        </is>
      </c>
      <c r="L23" t="inlineStr">
        <is>
          <t>0</t>
        </is>
      </c>
      <c r="M23" s="3" t="n">
        <v>0.987</v>
      </c>
      <c r="N23" t="inlineStr">
        <is>
          <t>중립</t>
        </is>
      </c>
    </row>
    <row r="24">
      <c r="A24" s="1" t="inlineStr">
        <is>
          <t>2021-05-24</t>
        </is>
      </c>
      <c r="B24" t="inlineStr">
        <is>
          <t>news</t>
        </is>
      </c>
      <c r="C24" t="inlineStr">
        <is>
          <t>economy</t>
        </is>
      </c>
      <c r="D24" t="inlineStr">
        <is>
          <t>뉴스1</t>
        </is>
      </c>
      <c r="E24" t="inlineStr">
        <is>
          <t>김정한</t>
        </is>
      </c>
      <c r="F24" t="inlineStr">
        <is>
          <t>포드 F-150 픽업트럭 전기차 라이트닝 시작가 4500만원</t>
        </is>
      </c>
      <c r="G24" s="2">
        <f>HYPERLINK("https://www.news1.kr/articles/?4316375", "Go to Website")</f>
        <v/>
      </c>
      <c r="H24" t="inlineStr"/>
      <c r="I24" t="inlineStr">
        <is>
          <t>C26</t>
        </is>
      </c>
      <c r="J24" s="3" t="n">
        <v>0.945</v>
      </c>
      <c r="K24" t="inlineStr">
        <is>
          <t>전자 부품, 컴퓨터, 영상, 음향 및 통신장비 제조업</t>
        </is>
      </c>
      <c r="L24" t="inlineStr"/>
      <c r="M24" t="inlineStr"/>
      <c r="N24" t="inlineStr"/>
    </row>
    <row r="25">
      <c r="A25" s="1" t="inlineStr">
        <is>
          <t>2021-05-24</t>
        </is>
      </c>
      <c r="B25" t="inlineStr">
        <is>
          <t>news</t>
        </is>
      </c>
      <c r="C25" t="inlineStr">
        <is>
          <t>economy</t>
        </is>
      </c>
      <c r="D25" t="inlineStr">
        <is>
          <t>디지털타임스</t>
        </is>
      </c>
      <c r="E25" t="inlineStr">
        <is>
          <t>김병탁</t>
        </is>
      </c>
      <c r="F25" t="inlineStr">
        <is>
          <t>한투운용 "친환경차·ESG 투자 활성화"</t>
        </is>
      </c>
      <c r="G25" s="2">
        <f>HYPERLINK("http://www.dt.co.kr/contents.html?article_no=2021052502100963040002", "Go to Website")</f>
        <v/>
      </c>
      <c r="H25" t="inlineStr"/>
      <c r="I25" t="inlineStr">
        <is>
          <t>K64</t>
        </is>
      </c>
      <c r="J25" s="3" t="n">
        <v>0.999</v>
      </c>
      <c r="K25" t="inlineStr">
        <is>
          <t>금융업</t>
        </is>
      </c>
      <c r="L25" t="inlineStr">
        <is>
          <t>0</t>
        </is>
      </c>
      <c r="M25" s="3" t="n">
        <v>0.849</v>
      </c>
      <c r="N25" t="inlineStr">
        <is>
          <t>중립</t>
        </is>
      </c>
    </row>
    <row r="26">
      <c r="A26" s="1" t="inlineStr">
        <is>
          <t>2021-05-24</t>
        </is>
      </c>
      <c r="B26" t="inlineStr">
        <is>
          <t>news</t>
        </is>
      </c>
      <c r="C26" t="inlineStr">
        <is>
          <t>economy</t>
        </is>
      </c>
      <c r="D26" t="inlineStr">
        <is>
          <t>조선일보</t>
        </is>
      </c>
      <c r="E26" t="inlineStr"/>
      <c r="F26" t="inlineStr">
        <is>
          <t>[Mint Letter] 진격의 서학개미들 조신해졌네</t>
        </is>
      </c>
      <c r="G26" s="2">
        <f>HYPERLINK("https://www.chosun.com/economy/mint/2021/05/24/QEKBN6M6NVA6ZND4E5YMDHP26M/?utm_medium=referral&amp;utm_campaign=naver-news", "Go to Website")</f>
        <v/>
      </c>
      <c r="H26" t="inlineStr"/>
      <c r="I26" t="inlineStr">
        <is>
          <t>C26</t>
        </is>
      </c>
      <c r="J26" s="3" t="n">
        <v>0.968</v>
      </c>
      <c r="K26" t="inlineStr">
        <is>
          <t>전자 부품, 컴퓨터, 영상, 음향 및 통신장비 제조업</t>
        </is>
      </c>
      <c r="L26" t="inlineStr"/>
      <c r="M26" t="inlineStr"/>
      <c r="N26" t="inlineStr"/>
    </row>
    <row r="27">
      <c r="A27" s="1" t="inlineStr">
        <is>
          <t>2021-05-24</t>
        </is>
      </c>
      <c r="B27" t="inlineStr">
        <is>
          <t>news</t>
        </is>
      </c>
      <c r="C27" t="inlineStr">
        <is>
          <t>economy</t>
        </is>
      </c>
      <c r="D27" t="inlineStr">
        <is>
          <t>디지털타임스</t>
        </is>
      </c>
      <c r="E27" t="inlineStr">
        <is>
          <t>강민성</t>
        </is>
      </c>
      <c r="F27" t="inlineStr">
        <is>
          <t>[현금 쌓아두는 대기업들] 조선·해운 등 순익 감소… 쌓을 돈 없는 `결손`상태</t>
        </is>
      </c>
      <c r="G27" s="2">
        <f>HYPERLINK("http://www.dt.co.kr/contents.html?article_no=2021052502100258027002", "Go to Website")</f>
        <v/>
      </c>
      <c r="H27" t="inlineStr"/>
      <c r="I27" t="inlineStr">
        <is>
          <t>C21</t>
        </is>
      </c>
      <c r="J27" s="3" t="n">
        <v>0.383</v>
      </c>
      <c r="K27" t="inlineStr">
        <is>
          <t>의료용 물질 및 의약품 제조업</t>
        </is>
      </c>
      <c r="L27" t="inlineStr"/>
      <c r="M27" t="inlineStr"/>
      <c r="N27" t="inlineStr"/>
    </row>
    <row r="28">
      <c r="A28" s="1" t="inlineStr">
        <is>
          <t>2021-05-24</t>
        </is>
      </c>
      <c r="B28" t="inlineStr">
        <is>
          <t>news</t>
        </is>
      </c>
      <c r="C28" t="inlineStr">
        <is>
          <t>economy</t>
        </is>
      </c>
      <c r="D28" t="inlineStr">
        <is>
          <t>SBS Biz</t>
        </is>
      </c>
      <c r="E28" t="inlineStr">
        <is>
          <t>강산</t>
        </is>
      </c>
      <c r="F28" t="inlineStr">
        <is>
          <t>한미 상호보완적 투자로 ‘경제동맹’ 열렸다</t>
        </is>
      </c>
      <c r="G28" s="2">
        <f>HYPERLINK("https://biz.sbs.co.kr/article_hub/20000016594", "Go to Website")</f>
        <v/>
      </c>
      <c r="H28" t="inlineStr"/>
      <c r="I28" t="inlineStr">
        <is>
          <t>K64</t>
        </is>
      </c>
      <c r="J28" s="3" t="n">
        <v>0.83</v>
      </c>
      <c r="K28" t="inlineStr">
        <is>
          <t>금융업</t>
        </is>
      </c>
      <c r="L28" t="inlineStr"/>
      <c r="M28" t="inlineStr"/>
      <c r="N28" t="inlineStr"/>
    </row>
    <row r="29">
      <c r="A29" s="1" t="inlineStr">
        <is>
          <t>2021-05-24</t>
        </is>
      </c>
      <c r="B29" t="inlineStr">
        <is>
          <t>news</t>
        </is>
      </c>
      <c r="C29" t="inlineStr">
        <is>
          <t>economy</t>
        </is>
      </c>
      <c r="D29" t="inlineStr">
        <is>
          <t>YTN</t>
        </is>
      </c>
      <c r="E29" t="inlineStr">
        <is>
          <t>이광엽</t>
        </is>
      </c>
      <c r="F29" t="inlineStr">
        <is>
          <t>美 '공급망 강화' 속 한국 기업 위상 우뚝...'실리 확보' 관건</t>
        </is>
      </c>
      <c r="G29" s="2">
        <f>HYPERLINK("https://www.ytn.co.kr/_ln/0102_202105241837246941", "Go to Website")</f>
        <v/>
      </c>
      <c r="H29" t="inlineStr"/>
      <c r="I29" t="inlineStr">
        <is>
          <t>C26</t>
        </is>
      </c>
      <c r="J29" s="3" t="n">
        <v>0.29</v>
      </c>
      <c r="K29" t="inlineStr">
        <is>
          <t>전자 부품, 컴퓨터, 영상, 음향 및 통신장비 제조업</t>
        </is>
      </c>
      <c r="L29" t="inlineStr"/>
      <c r="M29" t="inlineStr"/>
      <c r="N29" t="inlineStr"/>
    </row>
    <row r="30">
      <c r="A30" s="1" t="inlineStr">
        <is>
          <t>2021-05-24</t>
        </is>
      </c>
      <c r="B30" t="inlineStr">
        <is>
          <t>news</t>
        </is>
      </c>
      <c r="C30" t="inlineStr">
        <is>
          <t>economy</t>
        </is>
      </c>
      <c r="D30" t="inlineStr">
        <is>
          <t>SBS Biz</t>
        </is>
      </c>
      <c r="E30" t="inlineStr">
        <is>
          <t>권세욱</t>
        </is>
      </c>
      <c r="F30" t="inlineStr">
        <is>
          <t>삼성, 19조 등 44조 투자 보따리 풀고 ‘백신 파트너십’</t>
        </is>
      </c>
      <c r="G30" s="2">
        <f>HYPERLINK("https://biz.sbs.co.kr/article_hub/20000016593", "Go to Website")</f>
        <v/>
      </c>
      <c r="H30" t="inlineStr"/>
      <c r="I30" t="inlineStr">
        <is>
          <t>C20</t>
        </is>
      </c>
      <c r="J30" s="3" t="n">
        <v>0.744</v>
      </c>
      <c r="K30" t="inlineStr">
        <is>
          <t>화학 물질 및 화학제품 제조업; 의약품 제외</t>
        </is>
      </c>
      <c r="L30" t="inlineStr"/>
      <c r="M30" t="inlineStr"/>
      <c r="N30" t="inlineStr"/>
    </row>
    <row r="31">
      <c r="A31" s="1" t="inlineStr">
        <is>
          <t>2021-05-24</t>
        </is>
      </c>
      <c r="B31" t="inlineStr">
        <is>
          <t>news</t>
        </is>
      </c>
      <c r="C31" t="inlineStr">
        <is>
          <t>economy</t>
        </is>
      </c>
      <c r="D31" t="inlineStr">
        <is>
          <t>뉴시스</t>
        </is>
      </c>
      <c r="E31" t="inlineStr">
        <is>
          <t>고은결</t>
        </is>
      </c>
      <c r="F31" t="inlineStr">
        <is>
          <t>문승욱 산업장관 "韓기업 대미 투자, 공급망 선점 필요 따른 것"</t>
        </is>
      </c>
      <c r="G31" s="2">
        <f>HYPERLINK("http://www.newsis.com/view/?id=NISX20210524_0001451567&amp;cID=10401&amp;pID=10400", "Go to Website")</f>
        <v/>
      </c>
      <c r="H31" t="inlineStr"/>
      <c r="I31" t="inlineStr">
        <is>
          <t>100</t>
        </is>
      </c>
      <c r="J31" s="3" t="n">
        <v>1</v>
      </c>
      <c r="K31" t="inlineStr">
        <is>
          <t>분류 제외, 기타</t>
        </is>
      </c>
      <c r="L31" t="inlineStr"/>
      <c r="M31" t="inlineStr"/>
      <c r="N31" t="inlineStr"/>
    </row>
    <row r="32">
      <c r="A32" s="1" t="inlineStr">
        <is>
          <t>2021-05-24</t>
        </is>
      </c>
      <c r="B32" t="inlineStr">
        <is>
          <t>news</t>
        </is>
      </c>
      <c r="C32" t="inlineStr">
        <is>
          <t>economy</t>
        </is>
      </c>
      <c r="D32" t="inlineStr">
        <is>
          <t>한국경제</t>
        </is>
      </c>
      <c r="E32" t="inlineStr">
        <is>
          <t>구은서</t>
        </is>
      </c>
      <c r="F32" t="inlineStr">
        <is>
          <t>액티브 ETF 시대 본격 개막…ESG·미래차 등 8종목 25일 상장</t>
        </is>
      </c>
      <c r="G32" s="2">
        <f>HYPERLINK("https://www.hankyung.com/finance/article/2021052438561", "Go to Website")</f>
        <v/>
      </c>
      <c r="H32" t="inlineStr"/>
      <c r="I32" t="inlineStr">
        <is>
          <t>K64</t>
        </is>
      </c>
      <c r="J32" s="3" t="n">
        <v>0.999</v>
      </c>
      <c r="K32" t="inlineStr">
        <is>
          <t>금융업</t>
        </is>
      </c>
      <c r="L32" t="inlineStr">
        <is>
          <t>0</t>
        </is>
      </c>
      <c r="M32" s="3" t="n">
        <v>0.756</v>
      </c>
      <c r="N32" t="inlineStr">
        <is>
          <t>중립</t>
        </is>
      </c>
    </row>
    <row r="33">
      <c r="A33" s="1" t="inlineStr">
        <is>
          <t>2021-05-24</t>
        </is>
      </c>
      <c r="B33" t="inlineStr">
        <is>
          <t>news</t>
        </is>
      </c>
      <c r="C33" t="inlineStr">
        <is>
          <t>tech</t>
        </is>
      </c>
      <c r="D33" t="inlineStr">
        <is>
          <t>한국경제</t>
        </is>
      </c>
      <c r="E33" t="inlineStr">
        <is>
          <t>서민준</t>
        </is>
      </c>
      <c r="F33" t="inlineStr">
        <is>
          <t>과기부, 中企 2580곳에 '데이터바우처' 지원</t>
        </is>
      </c>
      <c r="G33" s="2">
        <f>HYPERLINK("https://www.hankyung.com/it/article/2021052439561", "Go to Website")</f>
        <v/>
      </c>
      <c r="H33" t="inlineStr"/>
      <c r="I33" t="inlineStr"/>
      <c r="J33" t="inlineStr"/>
      <c r="K33" t="inlineStr"/>
      <c r="L33" t="inlineStr"/>
      <c r="M33" t="inlineStr"/>
      <c r="N33" t="inlineStr"/>
    </row>
    <row r="34">
      <c r="A34" s="1" t="inlineStr">
        <is>
          <t>2021-05-24</t>
        </is>
      </c>
      <c r="B34" t="inlineStr">
        <is>
          <t>news</t>
        </is>
      </c>
      <c r="C34" t="inlineStr">
        <is>
          <t>economy</t>
        </is>
      </c>
      <c r="D34" t="inlineStr">
        <is>
          <t>한겨레</t>
        </is>
      </c>
      <c r="E34" t="inlineStr">
        <is>
          <t>박종오</t>
        </is>
      </c>
      <c r="F34" t="inlineStr">
        <is>
          <t>미국 손 꽉 잡은 한국 전기차·배터리, 중국 만리장성 어쩌나</t>
        </is>
      </c>
      <c r="G34" s="2">
        <f>HYPERLINK("http://www.hani.co.kr/arti/economy/marketing/996474.html", "Go to Website")</f>
        <v/>
      </c>
      <c r="H34" t="inlineStr"/>
      <c r="I34" t="inlineStr">
        <is>
          <t>K64</t>
        </is>
      </c>
      <c r="J34" s="3" t="n">
        <v>0.214</v>
      </c>
      <c r="K34" t="inlineStr">
        <is>
          <t>금융업</t>
        </is>
      </c>
      <c r="L34" t="inlineStr"/>
      <c r="M34" t="inlineStr"/>
      <c r="N34" t="inlineStr"/>
    </row>
    <row r="35">
      <c r="A35" s="1" t="inlineStr">
        <is>
          <t>2021-05-24</t>
        </is>
      </c>
      <c r="B35" t="inlineStr">
        <is>
          <t>news</t>
        </is>
      </c>
      <c r="C35" t="inlineStr">
        <is>
          <t>economy</t>
        </is>
      </c>
      <c r="D35" t="inlineStr">
        <is>
          <t>서울경제</t>
        </is>
      </c>
      <c r="E35" t="inlineStr">
        <is>
          <t>조지원</t>
        </is>
      </c>
      <c r="F35" t="inlineStr">
        <is>
          <t>한은, 탄소중립 따른 산업충격 따져본다</t>
        </is>
      </c>
      <c r="G35" s="2">
        <f>HYPERLINK("https://www.sedaily.com/NewsView/22MHHLD74M", "Go to Website")</f>
        <v/>
      </c>
      <c r="H35" t="inlineStr"/>
      <c r="I35" t="inlineStr">
        <is>
          <t>C31</t>
        </is>
      </c>
      <c r="J35" s="3" t="n">
        <v>0.804</v>
      </c>
      <c r="K35" t="inlineStr">
        <is>
          <t>기타 운송장비 제조업</t>
        </is>
      </c>
      <c r="L35" t="inlineStr"/>
      <c r="M35" t="inlineStr"/>
      <c r="N35" t="inlineStr"/>
    </row>
    <row r="36">
      <c r="A36" s="1" t="inlineStr">
        <is>
          <t>2021-05-24</t>
        </is>
      </c>
      <c r="B36" t="inlineStr">
        <is>
          <t>news</t>
        </is>
      </c>
      <c r="C36" t="inlineStr">
        <is>
          <t>economy</t>
        </is>
      </c>
      <c r="D36" t="inlineStr">
        <is>
          <t>파이낸셜뉴스</t>
        </is>
      </c>
      <c r="E36" t="inlineStr">
        <is>
          <t>김병덕</t>
        </is>
      </c>
      <c r="F36" t="inlineStr">
        <is>
          <t>아이오닉5 출고 지연에… 니로·볼트 ‘반사익’</t>
        </is>
      </c>
      <c r="G36" s="2">
        <f>HYPERLINK("http://www.fnnews.com/news/202105241758589920", "Go to Website")</f>
        <v/>
      </c>
      <c r="H36" t="inlineStr"/>
      <c r="I36" t="inlineStr">
        <is>
          <t>C28</t>
        </is>
      </c>
      <c r="J36" s="3" t="n">
        <v>0.858</v>
      </c>
      <c r="K36" t="inlineStr">
        <is>
          <t>전기장비 제조업</t>
        </is>
      </c>
      <c r="L36" t="inlineStr"/>
      <c r="M36" t="inlineStr"/>
      <c r="N36" t="inlineStr"/>
    </row>
    <row r="37">
      <c r="A37" s="1" t="inlineStr">
        <is>
          <t>2021-05-24</t>
        </is>
      </c>
      <c r="B37" t="inlineStr">
        <is>
          <t>news</t>
        </is>
      </c>
      <c r="C37" t="inlineStr">
        <is>
          <t>economy</t>
        </is>
      </c>
      <c r="D37" t="inlineStr">
        <is>
          <t>파이낸셜뉴스</t>
        </is>
      </c>
      <c r="E37" t="inlineStr">
        <is>
          <t>안태호</t>
        </is>
      </c>
      <c r="F37" t="inlineStr">
        <is>
          <t>LG엔솔, 품질 R&amp;D 조직 신설</t>
        </is>
      </c>
      <c r="G37" s="2">
        <f>HYPERLINK("http://www.fnnews.com/news/202105241757569568", "Go to Website")</f>
        <v/>
      </c>
      <c r="H37" t="inlineStr"/>
      <c r="I37" t="inlineStr">
        <is>
          <t>C26</t>
        </is>
      </c>
      <c r="J37" s="3" t="n">
        <v>0.796</v>
      </c>
      <c r="K37" t="inlineStr">
        <is>
          <t>전자 부품, 컴퓨터, 영상, 음향 및 통신장비 제조업</t>
        </is>
      </c>
      <c r="L37" t="inlineStr"/>
      <c r="M37" t="inlineStr"/>
      <c r="N37" t="inlineStr"/>
    </row>
    <row r="38">
      <c r="A38" s="1" t="inlineStr">
        <is>
          <t>2021-05-24</t>
        </is>
      </c>
      <c r="B38" t="inlineStr">
        <is>
          <t>news</t>
        </is>
      </c>
      <c r="C38" t="inlineStr">
        <is>
          <t>economy</t>
        </is>
      </c>
      <c r="D38" t="inlineStr">
        <is>
          <t>서울경제</t>
        </is>
      </c>
      <c r="E38" t="inlineStr">
        <is>
          <t>이경운</t>
        </is>
      </c>
      <c r="F38" t="inlineStr">
        <is>
          <t>K배터리 "파나소닉 넘어 1위"...현대차, 테슬라 추격전 시동 [한미정상회담 이후]</t>
        </is>
      </c>
      <c r="G38" s="2">
        <f>HYPERLINK("https://www.sedaily.com/NewsView/22MHHCVEEA", "Go to Website")</f>
        <v/>
      </c>
      <c r="H38" t="inlineStr"/>
      <c r="I38" t="inlineStr">
        <is>
          <t>C26</t>
        </is>
      </c>
      <c r="J38" s="3" t="n">
        <v>0.96</v>
      </c>
      <c r="K38" t="inlineStr">
        <is>
          <t>전자 부품, 컴퓨터, 영상, 음향 및 통신장비 제조업</t>
        </is>
      </c>
      <c r="L38" t="inlineStr">
        <is>
          <t>1</t>
        </is>
      </c>
      <c r="M38" s="3" t="n">
        <v>0.767</v>
      </c>
      <c r="N38" t="inlineStr">
        <is>
          <t>긍정</t>
        </is>
      </c>
    </row>
    <row r="39">
      <c r="A39" s="1" t="inlineStr">
        <is>
          <t>2021-05-24</t>
        </is>
      </c>
      <c r="B39" t="inlineStr">
        <is>
          <t>news</t>
        </is>
      </c>
      <c r="C39" t="inlineStr">
        <is>
          <t>economy</t>
        </is>
      </c>
      <c r="D39" t="inlineStr">
        <is>
          <t>서울경제</t>
        </is>
      </c>
      <c r="E39" t="inlineStr">
        <is>
          <t>한동희</t>
        </is>
      </c>
      <c r="F39" t="inlineStr">
        <is>
          <t>[단독] 친환경 속도내는 현대차···G90·K9서 '타우엔진' 뺀다</t>
        </is>
      </c>
      <c r="G39" s="2">
        <f>HYPERLINK("https://www.sedaily.com/NewsView/22MHHYQM7J", "Go to Website")</f>
        <v/>
      </c>
      <c r="H39" t="inlineStr"/>
      <c r="I39" t="inlineStr">
        <is>
          <t>C26</t>
        </is>
      </c>
      <c r="J39" s="3" t="n">
        <v>0.646</v>
      </c>
      <c r="K39" t="inlineStr">
        <is>
          <t>전자 부품, 컴퓨터, 영상, 음향 및 통신장비 제조업</t>
        </is>
      </c>
      <c r="L39" t="inlineStr">
        <is>
          <t>-1</t>
        </is>
      </c>
      <c r="M39" s="3" t="n">
        <v>0.412</v>
      </c>
      <c r="N39" t="inlineStr">
        <is>
          <t>부정</t>
        </is>
      </c>
    </row>
    <row r="40">
      <c r="A40" s="1" t="inlineStr">
        <is>
          <t>2021-05-24</t>
        </is>
      </c>
      <c r="B40" t="inlineStr">
        <is>
          <t>news</t>
        </is>
      </c>
      <c r="C40" t="inlineStr">
        <is>
          <t>economy</t>
        </is>
      </c>
      <c r="D40" t="inlineStr">
        <is>
          <t>중앙일보</t>
        </is>
      </c>
      <c r="E40" t="inlineStr">
        <is>
          <t>김영민</t>
        </is>
      </c>
      <c r="F40" t="inlineStr">
        <is>
          <t>中 보조금 장벽 뚫은 '아이오닉5'…中 전기차 보조금 받는다</t>
        </is>
      </c>
      <c r="G40" s="2">
        <f>HYPERLINK("https://news.joins.com/article/olink/23660086", "Go to Website")</f>
        <v/>
      </c>
      <c r="H40" t="inlineStr"/>
      <c r="I40" t="inlineStr">
        <is>
          <t>C26</t>
        </is>
      </c>
      <c r="J40" s="3" t="n">
        <v>0.407</v>
      </c>
      <c r="K40" t="inlineStr">
        <is>
          <t>전자 부품, 컴퓨터, 영상, 음향 및 통신장비 제조업</t>
        </is>
      </c>
      <c r="L40" t="inlineStr"/>
      <c r="M40" t="inlineStr"/>
      <c r="N40" t="inlineStr"/>
    </row>
    <row r="41">
      <c r="A41" s="1" t="inlineStr">
        <is>
          <t>2021-05-24</t>
        </is>
      </c>
      <c r="B41" t="inlineStr">
        <is>
          <t>news</t>
        </is>
      </c>
      <c r="C41" t="inlineStr">
        <is>
          <t>economy</t>
        </is>
      </c>
      <c r="D41" t="inlineStr">
        <is>
          <t>한국경제</t>
        </is>
      </c>
      <c r="E41" t="inlineStr">
        <is>
          <t>안재광</t>
        </is>
      </c>
      <c r="F41" t="inlineStr">
        <is>
          <t>"머스크는 틀렸다…배터리만으론 화석연료 대체 불가"</t>
        </is>
      </c>
      <c r="G41" s="2">
        <f>HYPERLINK("https://www.hankyung.com/economy/article/2021052440411", "Go to Website")</f>
        <v/>
      </c>
      <c r="H41" t="inlineStr"/>
      <c r="I41" t="inlineStr">
        <is>
          <t>100</t>
        </is>
      </c>
      <c r="J41" s="3" t="n">
        <v>0.995</v>
      </c>
      <c r="K41" t="inlineStr">
        <is>
          <t>분류 제외, 기타</t>
        </is>
      </c>
      <c r="L41" t="inlineStr">
        <is>
          <t>0</t>
        </is>
      </c>
      <c r="M41" s="3" t="n">
        <v>0.769</v>
      </c>
      <c r="N41" t="inlineStr">
        <is>
          <t>중립</t>
        </is>
      </c>
    </row>
    <row r="42">
      <c r="A42" s="1" t="inlineStr">
        <is>
          <t>2021-05-24</t>
        </is>
      </c>
      <c r="B42" t="inlineStr">
        <is>
          <t>news</t>
        </is>
      </c>
      <c r="C42" t="inlineStr">
        <is>
          <t>economy</t>
        </is>
      </c>
      <c r="D42" t="inlineStr">
        <is>
          <t>한국경제</t>
        </is>
      </c>
      <c r="E42" t="inlineStr">
        <is>
          <t>강경민</t>
        </is>
      </c>
      <c r="F42" t="inlineStr">
        <is>
          <t>"효성과 함께 한국 전역에 수소 충전소 120개 구축"</t>
        </is>
      </c>
      <c r="G42" s="2">
        <f>HYPERLINK("https://www.hankyung.com/economy/article/2021052440401", "Go to Website")</f>
        <v/>
      </c>
      <c r="H42" t="inlineStr"/>
      <c r="I42" t="inlineStr">
        <is>
          <t>C20</t>
        </is>
      </c>
      <c r="J42" s="3" t="n">
        <v>0.756</v>
      </c>
      <c r="K42" t="inlineStr">
        <is>
          <t>화학 물질 및 화학제품 제조업; 의약품 제외</t>
        </is>
      </c>
      <c r="L42" t="inlineStr">
        <is>
          <t>0</t>
        </is>
      </c>
      <c r="M42" s="3" t="n">
        <v>0.623</v>
      </c>
      <c r="N42" t="inlineStr">
        <is>
          <t>중립</t>
        </is>
      </c>
    </row>
    <row r="43">
      <c r="A43" s="1" t="inlineStr">
        <is>
          <t>2021-05-24</t>
        </is>
      </c>
      <c r="B43" t="inlineStr">
        <is>
          <t>news</t>
        </is>
      </c>
      <c r="C43" t="inlineStr">
        <is>
          <t>economy</t>
        </is>
      </c>
      <c r="D43" t="inlineStr">
        <is>
          <t>한국경제TV</t>
        </is>
      </c>
      <c r="E43" t="inlineStr">
        <is>
          <t>문성필</t>
        </is>
      </c>
      <c r="F43" t="inlineStr">
        <is>
          <t>주원 현대경제硏 실장 "대중 관계 과제"</t>
        </is>
      </c>
      <c r="G43" s="2">
        <f>HYPERLINK("https://www.wowtv.co.kr/NewsCenter/News/Read?articleId=A202105240313&amp;t=NNv", "Go to Website")</f>
        <v/>
      </c>
      <c r="H43" t="inlineStr"/>
      <c r="I43" t="inlineStr">
        <is>
          <t>100</t>
        </is>
      </c>
      <c r="J43" s="3" t="n">
        <v>0.464</v>
      </c>
      <c r="K43" t="inlineStr">
        <is>
          <t>분류 제외, 기타</t>
        </is>
      </c>
      <c r="L43" t="inlineStr"/>
      <c r="M43" t="inlineStr"/>
      <c r="N43" t="inlineStr"/>
    </row>
    <row r="44">
      <c r="A44" s="1" t="inlineStr">
        <is>
          <t>2021-05-24</t>
        </is>
      </c>
      <c r="B44" t="inlineStr">
        <is>
          <t>news</t>
        </is>
      </c>
      <c r="C44" t="inlineStr">
        <is>
          <t>economy</t>
        </is>
      </c>
      <c r="D44" t="inlineStr">
        <is>
          <t>매일경제</t>
        </is>
      </c>
      <c r="E44" t="inlineStr">
        <is>
          <t>김정범</t>
        </is>
      </c>
      <c r="F44" t="inlineStr">
        <is>
          <t>액티브ETF 경쟁 치열…25일 주식형 8종 상장</t>
        </is>
      </c>
      <c r="G44" s="2">
        <f>HYPERLINK("http://news.mk.co.kr/newsRead.php?no=499416&amp;year=2021", "Go to Website")</f>
        <v/>
      </c>
      <c r="H44" t="inlineStr"/>
      <c r="I44" t="inlineStr">
        <is>
          <t>K64</t>
        </is>
      </c>
      <c r="J44" s="3" t="n">
        <v>0.999</v>
      </c>
      <c r="K44" t="inlineStr">
        <is>
          <t>금융업</t>
        </is>
      </c>
      <c r="L44" t="inlineStr"/>
      <c r="M44" t="inlineStr"/>
      <c r="N44" t="inlineStr"/>
    </row>
    <row r="45">
      <c r="A45" s="1" t="inlineStr">
        <is>
          <t>2021-05-24</t>
        </is>
      </c>
      <c r="B45" t="inlineStr">
        <is>
          <t>news</t>
        </is>
      </c>
      <c r="C45" t="inlineStr">
        <is>
          <t>economy</t>
        </is>
      </c>
      <c r="D45" t="inlineStr">
        <is>
          <t>서울경제</t>
        </is>
      </c>
      <c r="E45" t="inlineStr">
        <is>
          <t>김능현</t>
        </is>
      </c>
      <c r="F45" t="inlineStr">
        <is>
          <t>기아 조지아 공장 27~28일 또 '셧다운'</t>
        </is>
      </c>
      <c r="G45" s="2">
        <f>HYPERLINK("https://www.sedaily.com/NewsView/22MHHUYFTU", "Go to Website")</f>
        <v/>
      </c>
      <c r="H45" t="inlineStr"/>
      <c r="I45" t="inlineStr">
        <is>
          <t>C30</t>
        </is>
      </c>
      <c r="J45" s="3" t="n">
        <v>1</v>
      </c>
      <c r="K45" t="inlineStr">
        <is>
          <t>자동차 및 트레일러 제조업</t>
        </is>
      </c>
      <c r="L45" t="inlineStr">
        <is>
          <t>-1</t>
        </is>
      </c>
      <c r="M45" s="3" t="n">
        <v>0.918</v>
      </c>
      <c r="N45" t="inlineStr">
        <is>
          <t>부정</t>
        </is>
      </c>
    </row>
    <row r="46">
      <c r="A46" s="1" t="inlineStr">
        <is>
          <t>2021-05-24</t>
        </is>
      </c>
      <c r="B46" t="inlineStr">
        <is>
          <t>news</t>
        </is>
      </c>
      <c r="C46" t="inlineStr">
        <is>
          <t>economy</t>
        </is>
      </c>
      <c r="D46" t="inlineStr">
        <is>
          <t>매일경제</t>
        </is>
      </c>
      <c r="E46" t="inlineStr">
        <is>
          <t>최근도</t>
        </is>
      </c>
      <c r="F46" t="inlineStr">
        <is>
          <t>SK이노베이션 배터리 '글로벌 톱3' 달성 눈앞</t>
        </is>
      </c>
      <c r="G46" s="2">
        <f>HYPERLINK("http://news.mk.co.kr/newsRead.php?no=499372&amp;year=2021", "Go to Website")</f>
        <v/>
      </c>
      <c r="H46" t="inlineStr"/>
      <c r="I46" t="inlineStr">
        <is>
          <t>K64</t>
        </is>
      </c>
      <c r="J46" s="3" t="n">
        <v>1</v>
      </c>
      <c r="K46" t="inlineStr">
        <is>
          <t>금융업</t>
        </is>
      </c>
      <c r="L46" t="inlineStr">
        <is>
          <t>1</t>
        </is>
      </c>
      <c r="M46" s="3" t="n">
        <v>0.99</v>
      </c>
      <c r="N46" t="inlineStr">
        <is>
          <t>긍정</t>
        </is>
      </c>
    </row>
    <row r="47">
      <c r="A47" s="1" t="inlineStr">
        <is>
          <t>2021-05-24</t>
        </is>
      </c>
      <c r="B47" t="inlineStr">
        <is>
          <t>news</t>
        </is>
      </c>
      <c r="C47" t="inlineStr">
        <is>
          <t>economy</t>
        </is>
      </c>
      <c r="D47" t="inlineStr">
        <is>
          <t>노컷뉴스</t>
        </is>
      </c>
      <c r="E47" t="inlineStr">
        <is>
          <t>김송이</t>
        </is>
      </c>
      <c r="F47" t="inlineStr">
        <is>
          <t>대우건설, '광양 푸르지오 더 센트럴' 분양</t>
        </is>
      </c>
      <c r="G47" s="2">
        <f>HYPERLINK("https://www.nocutnews.co.kr/news/5557900", "Go to Website")</f>
        <v/>
      </c>
      <c r="H47" t="inlineStr"/>
      <c r="I47" t="inlineStr">
        <is>
          <t>F41</t>
        </is>
      </c>
      <c r="J47" s="3" t="n">
        <v>1</v>
      </c>
      <c r="K47" t="inlineStr">
        <is>
          <t>종합 건설업</t>
        </is>
      </c>
      <c r="L47" t="inlineStr">
        <is>
          <t>0</t>
        </is>
      </c>
      <c r="M47" s="3" t="n">
        <v>0.993</v>
      </c>
      <c r="N47" t="inlineStr">
        <is>
          <t>중립</t>
        </is>
      </c>
    </row>
    <row r="48">
      <c r="A48" s="1" t="inlineStr">
        <is>
          <t>2021-05-24</t>
        </is>
      </c>
      <c r="B48" t="inlineStr">
        <is>
          <t>news</t>
        </is>
      </c>
      <c r="C48" t="inlineStr">
        <is>
          <t>economy</t>
        </is>
      </c>
      <c r="D48" t="inlineStr">
        <is>
          <t>한국경제</t>
        </is>
      </c>
      <c r="E48" t="inlineStr">
        <is>
          <t>김병근</t>
        </is>
      </c>
      <c r="F48" t="inlineStr">
        <is>
          <t>국내 자동차 전선 1위 대원전선, 수출입은행서 50억 투자 유치</t>
        </is>
      </c>
      <c r="G48" s="2">
        <f>HYPERLINK("https://www.hankyung.com/economy/article/2021052438661", "Go to Website")</f>
        <v/>
      </c>
      <c r="H48" t="inlineStr"/>
      <c r="I48" t="inlineStr">
        <is>
          <t>C28</t>
        </is>
      </c>
      <c r="J48" s="3" t="n">
        <v>0.998</v>
      </c>
      <c r="K48" t="inlineStr">
        <is>
          <t>전기장비 제조업</t>
        </is>
      </c>
      <c r="L48" t="inlineStr">
        <is>
          <t>1</t>
        </is>
      </c>
      <c r="M48" s="3" t="n">
        <v>0.779</v>
      </c>
      <c r="N48" t="inlineStr">
        <is>
          <t>긍정</t>
        </is>
      </c>
    </row>
    <row r="49">
      <c r="A49" s="1" t="inlineStr">
        <is>
          <t>2021-05-24</t>
        </is>
      </c>
      <c r="B49" t="inlineStr">
        <is>
          <t>news</t>
        </is>
      </c>
      <c r="C49" t="inlineStr">
        <is>
          <t>economy</t>
        </is>
      </c>
      <c r="D49" t="inlineStr">
        <is>
          <t>머니S</t>
        </is>
      </c>
      <c r="E49" t="inlineStr">
        <is>
          <t>안서진</t>
        </is>
      </c>
      <c r="F49" t="inlineStr">
        <is>
          <t>'부릉부릉' 주식형 액티브 ETF 시동 거는 한투운용… 車·ESG 공략</t>
        </is>
      </c>
      <c r="G49" s="2">
        <f>HYPERLINK("http://moneys.mt.co.kr/news/mwView.php?no=2021052416418088163", "Go to Website")</f>
        <v/>
      </c>
      <c r="H49" t="inlineStr"/>
      <c r="I49" t="inlineStr">
        <is>
          <t>K64</t>
        </is>
      </c>
      <c r="J49" s="3" t="n">
        <v>1</v>
      </c>
      <c r="K49" t="inlineStr">
        <is>
          <t>금융업</t>
        </is>
      </c>
      <c r="L49" t="inlineStr"/>
      <c r="M49" t="inlineStr"/>
      <c r="N49" t="inlineStr"/>
    </row>
    <row r="50">
      <c r="A50" s="1" t="inlineStr">
        <is>
          <t>2021-05-24</t>
        </is>
      </c>
      <c r="B50" t="inlineStr">
        <is>
          <t>news</t>
        </is>
      </c>
      <c r="C50" t="inlineStr">
        <is>
          <t>economy</t>
        </is>
      </c>
      <c r="D50" t="inlineStr">
        <is>
          <t>매일경제</t>
        </is>
      </c>
      <c r="E50" t="inlineStr">
        <is>
          <t>황순민</t>
        </is>
      </c>
      <c r="F50" t="inlineStr">
        <is>
          <t>"250년 걸리는 논문·특허 분석…'초거대 AI'는 일주일이면 거뜬"</t>
        </is>
      </c>
      <c r="G50" s="2">
        <f>HYPERLINK("http://news.mk.co.kr/newsRead.php?no=499279&amp;year=2021", "Go to Website")</f>
        <v/>
      </c>
      <c r="H50" t="inlineStr"/>
      <c r="I50" t="inlineStr">
        <is>
          <t>K64</t>
        </is>
      </c>
      <c r="J50" s="3" t="n">
        <v>0.592</v>
      </c>
      <c r="K50" t="inlineStr">
        <is>
          <t>금융업</t>
        </is>
      </c>
      <c r="L50" t="inlineStr"/>
      <c r="M50" t="inlineStr"/>
      <c r="N50" t="inlineStr"/>
    </row>
    <row r="51">
      <c r="A51" s="1" t="inlineStr">
        <is>
          <t>2021-05-24</t>
        </is>
      </c>
      <c r="B51" t="inlineStr">
        <is>
          <t>news</t>
        </is>
      </c>
      <c r="C51" t="inlineStr">
        <is>
          <t>economy</t>
        </is>
      </c>
      <c r="D51" t="inlineStr">
        <is>
          <t>YTN</t>
        </is>
      </c>
      <c r="E51" t="inlineStr"/>
      <c r="F51" t="inlineStr">
        <is>
          <t>[생생경제] 한미 원전 협력, 탈원전 정책 기조 수정한 것으로 봐야</t>
        </is>
      </c>
      <c r="G51" s="2">
        <f>HYPERLINK("https://www.ytn.co.kr/_ln/0102_202105241702159446", "Go to Website")</f>
        <v/>
      </c>
      <c r="H51" t="inlineStr"/>
      <c r="I51" t="inlineStr">
        <is>
          <t>100</t>
        </is>
      </c>
      <c r="J51" s="3" t="n">
        <v>0.643</v>
      </c>
      <c r="K51" t="inlineStr">
        <is>
          <t>분류 제외, 기타</t>
        </is>
      </c>
      <c r="L51" t="inlineStr"/>
      <c r="M51" t="inlineStr"/>
      <c r="N51" t="inlineStr"/>
    </row>
    <row r="52">
      <c r="A52" s="1" t="inlineStr">
        <is>
          <t>2021-05-24</t>
        </is>
      </c>
      <c r="B52" t="inlineStr">
        <is>
          <t>news</t>
        </is>
      </c>
      <c r="C52" t="inlineStr">
        <is>
          <t>economy</t>
        </is>
      </c>
      <c r="D52" t="inlineStr">
        <is>
          <t>동아일보</t>
        </is>
      </c>
      <c r="E52" t="inlineStr">
        <is>
          <t>김민범</t>
        </is>
      </c>
      <c r="F52" t="inlineStr">
        <is>
          <t>신개념 전기스쿠터 ‘블루샤크 R1 라이트’ 6월 출시… 발열 없는 ‘리튬인산철배터리’ 탑재</t>
        </is>
      </c>
      <c r="G52" s="2">
        <f>HYPERLINK("https://www.donga.com/news/article/all/20210524/107089529/2", "Go to Website")</f>
        <v/>
      </c>
      <c r="H52" t="inlineStr"/>
      <c r="I52" t="inlineStr">
        <is>
          <t>C28</t>
        </is>
      </c>
      <c r="J52" s="3" t="n">
        <v>0.919</v>
      </c>
      <c r="K52" t="inlineStr">
        <is>
          <t>전기장비 제조업</t>
        </is>
      </c>
      <c r="L52" t="inlineStr">
        <is>
          <t>1</t>
        </is>
      </c>
      <c r="M52" s="3" t="n">
        <v>0.991</v>
      </c>
      <c r="N52" t="inlineStr">
        <is>
          <t>긍정</t>
        </is>
      </c>
    </row>
    <row r="53">
      <c r="A53" s="1" t="inlineStr">
        <is>
          <t>2021-05-24</t>
        </is>
      </c>
      <c r="B53" t="inlineStr">
        <is>
          <t>news</t>
        </is>
      </c>
      <c r="C53" t="inlineStr">
        <is>
          <t>economy</t>
        </is>
      </c>
      <c r="D53" t="inlineStr">
        <is>
          <t>파이낸셜뉴스</t>
        </is>
      </c>
      <c r="E53" t="inlineStr">
        <is>
          <t>안태호</t>
        </is>
      </c>
      <c r="F53" t="inlineStr">
        <is>
          <t>LG엔솔, 품질 R&amp;D조직 신설.."배터리 안정성 강화"</t>
        </is>
      </c>
      <c r="G53" s="2">
        <f>HYPERLINK("http://www.fnnews.com/news/202105241336369883", "Go to Website")</f>
        <v/>
      </c>
      <c r="H53" t="inlineStr"/>
      <c r="I53" t="inlineStr">
        <is>
          <t>C26</t>
        </is>
      </c>
      <c r="J53" s="3" t="n">
        <v>0.779</v>
      </c>
      <c r="K53" t="inlineStr">
        <is>
          <t>전자 부품, 컴퓨터, 영상, 음향 및 통신장비 제조업</t>
        </is>
      </c>
      <c r="L53" t="inlineStr"/>
      <c r="M53" t="inlineStr"/>
      <c r="N53" t="inlineStr"/>
    </row>
    <row r="54">
      <c r="A54" s="1" t="inlineStr">
        <is>
          <t>2021-05-24</t>
        </is>
      </c>
      <c r="B54" t="inlineStr">
        <is>
          <t>news</t>
        </is>
      </c>
      <c r="C54" t="inlineStr">
        <is>
          <t>economy</t>
        </is>
      </c>
      <c r="D54" t="inlineStr">
        <is>
          <t>파이낸셜뉴스</t>
        </is>
      </c>
      <c r="E54" t="inlineStr">
        <is>
          <t>정지우</t>
        </is>
      </c>
      <c r="F54" t="inlineStr">
        <is>
          <t>52년 만에 최대 폭 개편 항셍지수, 3개 업체 추가</t>
        </is>
      </c>
      <c r="G54" s="2">
        <f>HYPERLINK("http://www.fnnews.com/news/202105241628597301", "Go to Website")</f>
        <v/>
      </c>
      <c r="H54" t="inlineStr"/>
      <c r="I54" t="inlineStr">
        <is>
          <t>100</t>
        </is>
      </c>
      <c r="J54" s="3" t="n">
        <v>0.745</v>
      </c>
      <c r="K54" t="inlineStr">
        <is>
          <t>분류 제외, 기타</t>
        </is>
      </c>
      <c r="L54" t="inlineStr"/>
      <c r="M54" t="inlineStr"/>
      <c r="N54" t="inlineStr"/>
    </row>
    <row r="55">
      <c r="A55" s="1" t="inlineStr">
        <is>
          <t>2021-05-24</t>
        </is>
      </c>
      <c r="B55" t="inlineStr">
        <is>
          <t>news</t>
        </is>
      </c>
      <c r="C55" t="inlineStr">
        <is>
          <t>economy</t>
        </is>
      </c>
      <c r="D55" t="inlineStr">
        <is>
          <t>연합뉴스</t>
        </is>
      </c>
      <c r="E55" t="inlineStr">
        <is>
          <t>윤보람</t>
        </is>
      </c>
      <c r="F55" t="inlineStr">
        <is>
          <t>산업장관 "기업들 대미 투자, 공급망 시장 선점 위한 것"</t>
        </is>
      </c>
      <c r="G55" s="2">
        <f>HYPERLINK("http://yna.kr/AKR20210524124600003?did=1195m", "Go to Website")</f>
        <v/>
      </c>
      <c r="H55" t="inlineStr"/>
      <c r="I55" t="inlineStr">
        <is>
          <t>100</t>
        </is>
      </c>
      <c r="J55" s="3" t="n">
        <v>0.756</v>
      </c>
      <c r="K55" t="inlineStr">
        <is>
          <t>분류 제외, 기타</t>
        </is>
      </c>
      <c r="L55" t="inlineStr"/>
      <c r="M55" t="inlineStr"/>
      <c r="N55" t="inlineStr"/>
    </row>
    <row r="56">
      <c r="A56" s="1" t="inlineStr">
        <is>
          <t>2021-05-24</t>
        </is>
      </c>
      <c r="B56" t="inlineStr">
        <is>
          <t>news</t>
        </is>
      </c>
      <c r="C56" t="inlineStr">
        <is>
          <t>economy</t>
        </is>
      </c>
      <c r="D56" t="inlineStr">
        <is>
          <t>머니투데이</t>
        </is>
      </c>
      <c r="E56" t="inlineStr">
        <is>
          <t>주명호</t>
        </is>
      </c>
      <c r="F56" t="inlineStr">
        <is>
          <t>전기차 전환·美투자에 반발…난항 예고된 올해 현대차 임단협</t>
        </is>
      </c>
      <c r="G56" s="2">
        <f>HYPERLINK("http://news.mt.co.kr/mtview.php?no=2021052416215789784", "Go to Website")</f>
        <v/>
      </c>
      <c r="H56" t="inlineStr"/>
      <c r="I56" t="inlineStr">
        <is>
          <t>C30</t>
        </is>
      </c>
      <c r="J56" s="3" t="n">
        <v>1</v>
      </c>
      <c r="K56" t="inlineStr">
        <is>
          <t>자동차 및 트레일러 제조업</t>
        </is>
      </c>
      <c r="L56" t="inlineStr">
        <is>
          <t>-1</t>
        </is>
      </c>
      <c r="M56" s="3" t="n">
        <v>0.983</v>
      </c>
      <c r="N56" t="inlineStr">
        <is>
          <t>부정</t>
        </is>
      </c>
    </row>
    <row r="57">
      <c r="A57" s="1" t="inlineStr">
        <is>
          <t>2021-05-24</t>
        </is>
      </c>
      <c r="B57" t="inlineStr">
        <is>
          <t>news</t>
        </is>
      </c>
      <c r="C57" t="inlineStr">
        <is>
          <t>economy</t>
        </is>
      </c>
      <c r="D57" t="inlineStr">
        <is>
          <t>뉴시스</t>
        </is>
      </c>
      <c r="E57" t="inlineStr">
        <is>
          <t>정윤아</t>
        </is>
      </c>
      <c r="F57" t="inlineStr">
        <is>
          <t>LG엔솔-SK이노, 美서 전기차 배터리 집중…세계 배터리 전쟁 격화</t>
        </is>
      </c>
      <c r="G57" s="2">
        <f>HYPERLINK("http://www.newsis.com/view/?id=NISX20210524_0001451400&amp;cID=13001&amp;pID=13000", "Go to Website")</f>
        <v/>
      </c>
      <c r="H57" t="inlineStr"/>
      <c r="I57" t="inlineStr">
        <is>
          <t>C26</t>
        </is>
      </c>
      <c r="J57" s="3" t="n">
        <v>0.911</v>
      </c>
      <c r="K57" t="inlineStr">
        <is>
          <t>전자 부품, 컴퓨터, 영상, 음향 및 통신장비 제조업</t>
        </is>
      </c>
      <c r="L57" t="inlineStr"/>
      <c r="M57" t="inlineStr"/>
      <c r="N57" t="inlineStr"/>
    </row>
    <row r="58">
      <c r="A58" s="1" t="inlineStr">
        <is>
          <t>2021-05-24</t>
        </is>
      </c>
      <c r="B58" t="inlineStr">
        <is>
          <t>news</t>
        </is>
      </c>
      <c r="C58" t="inlineStr">
        <is>
          <t>economy</t>
        </is>
      </c>
      <c r="D58" t="inlineStr">
        <is>
          <t>머니투데이</t>
        </is>
      </c>
      <c r="E58" t="inlineStr">
        <is>
          <t>강민수</t>
        </is>
      </c>
      <c r="F58" t="inlineStr">
        <is>
          <t>K-OTC시장,  '실력산업' 신규등록승인…26일부터 거래</t>
        </is>
      </c>
      <c r="G58" s="2">
        <f>HYPERLINK("http://news.mt.co.kr/mtview.php?no=2021052416232466890", "Go to Website")</f>
        <v/>
      </c>
      <c r="H58" t="inlineStr"/>
      <c r="I58" t="inlineStr">
        <is>
          <t>R90</t>
        </is>
      </c>
      <c r="J58" s="3" t="n">
        <v>0.6820000000000001</v>
      </c>
      <c r="K58" t="inlineStr">
        <is>
          <t>창작, 예술 및 여가관련 서비스업</t>
        </is>
      </c>
      <c r="L58" t="inlineStr"/>
      <c r="M58" t="inlineStr"/>
      <c r="N58" t="inlineStr"/>
    </row>
    <row r="59">
      <c r="A59" s="1" t="inlineStr">
        <is>
          <t>2021-05-24</t>
        </is>
      </c>
      <c r="B59" t="inlineStr">
        <is>
          <t>news</t>
        </is>
      </c>
      <c r="C59" t="inlineStr">
        <is>
          <t>economy</t>
        </is>
      </c>
      <c r="D59" t="inlineStr">
        <is>
          <t>SBS Biz</t>
        </is>
      </c>
      <c r="E59" t="inlineStr">
        <is>
          <t>김날해</t>
        </is>
      </c>
      <c r="F59" t="inlineStr">
        <is>
          <t>[오후초대석] 한미 車 배터리 동맹…SK이노 美 배터리 공장에 9조 투자 발표</t>
        </is>
      </c>
      <c r="G59" s="2">
        <f>HYPERLINK("https://biz.sbs.co.kr/article_hub/20000016563", "Go to Website")</f>
        <v/>
      </c>
      <c r="H59" t="inlineStr"/>
      <c r="I59" t="inlineStr">
        <is>
          <t>K64</t>
        </is>
      </c>
      <c r="J59" s="3" t="n">
        <v>0.997</v>
      </c>
      <c r="K59" t="inlineStr">
        <is>
          <t>금융업</t>
        </is>
      </c>
      <c r="L59" t="inlineStr"/>
      <c r="M59" t="inlineStr"/>
      <c r="N59" t="inlineStr"/>
    </row>
    <row r="60">
      <c r="A60" s="1" t="inlineStr">
        <is>
          <t>2021-05-24</t>
        </is>
      </c>
      <c r="B60" t="inlineStr">
        <is>
          <t>news</t>
        </is>
      </c>
      <c r="C60" t="inlineStr">
        <is>
          <t>economy</t>
        </is>
      </c>
      <c r="D60" t="inlineStr">
        <is>
          <t>디지털타임스</t>
        </is>
      </c>
      <c r="E60" t="inlineStr"/>
      <c r="F60" t="inlineStr">
        <is>
          <t>이재명 "저성장으로 불공정 분노 커져…공정한 기업경쟁 환경 조성"</t>
        </is>
      </c>
      <c r="G60" s="2">
        <f>HYPERLINK("http://www.dt.co.kr/contents.html?article_no=2021052402109958063004", "Go to Website")</f>
        <v/>
      </c>
      <c r="H60" t="inlineStr"/>
      <c r="I60" t="inlineStr">
        <is>
          <t>C30</t>
        </is>
      </c>
      <c r="J60" s="3" t="n">
        <v>0.999</v>
      </c>
      <c r="K60" t="inlineStr">
        <is>
          <t>자동차 및 트레일러 제조업</t>
        </is>
      </c>
      <c r="L60" t="inlineStr"/>
      <c r="M60" t="inlineStr"/>
      <c r="N60" t="inlineStr"/>
    </row>
    <row r="61">
      <c r="A61" s="1" t="inlineStr">
        <is>
          <t>2021-05-24</t>
        </is>
      </c>
      <c r="B61" t="inlineStr">
        <is>
          <t>news</t>
        </is>
      </c>
      <c r="C61" t="inlineStr">
        <is>
          <t>economy</t>
        </is>
      </c>
      <c r="D61" t="inlineStr">
        <is>
          <t>서울경제</t>
        </is>
      </c>
      <c r="E61" t="inlineStr">
        <is>
          <t>김동호</t>
        </is>
      </c>
      <c r="F61" t="inlineStr">
        <is>
          <t>전세계 배터리 전문가들과 3만여명의 바이어가 함께 국내외 전지 시장의 미래를 조망! 미리 알아보는 배터리 전문 전시회 ‘인터배터리 2021’</t>
        </is>
      </c>
      <c r="G61" s="2">
        <f>HYPERLINK("https://www.sedaily.com/NewsView/22MHI94NCD", "Go to Website")</f>
        <v/>
      </c>
      <c r="H61" t="inlineStr"/>
      <c r="I61" t="inlineStr">
        <is>
          <t>C28</t>
        </is>
      </c>
      <c r="J61" s="3" t="n">
        <v>0.903</v>
      </c>
      <c r="K61" t="inlineStr">
        <is>
          <t>전기장비 제조업</t>
        </is>
      </c>
      <c r="L61" t="inlineStr"/>
      <c r="M61" t="inlineStr"/>
      <c r="N61" t="inlineStr"/>
    </row>
    <row r="62">
      <c r="A62" s="1" t="inlineStr">
        <is>
          <t>2021-05-24</t>
        </is>
      </c>
      <c r="B62" t="inlineStr">
        <is>
          <t>news</t>
        </is>
      </c>
      <c r="C62" t="inlineStr">
        <is>
          <t>economy</t>
        </is>
      </c>
      <c r="D62" t="inlineStr">
        <is>
          <t>SBS</t>
        </is>
      </c>
      <c r="E62" t="inlineStr"/>
      <c r="F62" t="inlineStr">
        <is>
          <t>문승욱 "44조 기업 투자, 미국 시장 선점 필요 따른 것"</t>
        </is>
      </c>
      <c r="G62" s="2">
        <f>HYPERLINK("https://news.sbs.co.kr/news/endPage.do?news_id=N1006329115", "Go to Website")</f>
        <v/>
      </c>
      <c r="H62" t="inlineStr"/>
      <c r="I62" t="inlineStr">
        <is>
          <t>100</t>
        </is>
      </c>
      <c r="J62" s="3" t="n">
        <v>0.998</v>
      </c>
      <c r="K62" t="inlineStr">
        <is>
          <t>분류 제외, 기타</t>
        </is>
      </c>
      <c r="L62" t="inlineStr">
        <is>
          <t>0</t>
        </is>
      </c>
      <c r="M62" s="3" t="n">
        <v>0.665</v>
      </c>
      <c r="N62" t="inlineStr">
        <is>
          <t>중립</t>
        </is>
      </c>
    </row>
    <row r="63">
      <c r="A63" s="1" t="inlineStr">
        <is>
          <t>2021-05-24</t>
        </is>
      </c>
      <c r="B63" t="inlineStr">
        <is>
          <t>news</t>
        </is>
      </c>
      <c r="C63" t="inlineStr">
        <is>
          <t>economy</t>
        </is>
      </c>
      <c r="D63" t="inlineStr">
        <is>
          <t>매일경제</t>
        </is>
      </c>
      <c r="E63" t="inlineStr">
        <is>
          <t>서동철</t>
        </is>
      </c>
      <c r="F63" t="inlineStr">
        <is>
          <t>인도네시아 장관 방한…현대차·LG에너지솔루션 CEO 등 만나</t>
        </is>
      </c>
      <c r="G63" s="2">
        <f>HYPERLINK("http://news.mk.co.kr/newsRead.php?no=499037&amp;year=2021", "Go to Website")</f>
        <v/>
      </c>
      <c r="H63" t="inlineStr"/>
      <c r="I63" t="inlineStr">
        <is>
          <t>100</t>
        </is>
      </c>
      <c r="J63" s="3" t="n">
        <v>0.393</v>
      </c>
      <c r="K63" t="inlineStr">
        <is>
          <t>분류 제외, 기타</t>
        </is>
      </c>
      <c r="L63" t="inlineStr"/>
      <c r="M63" t="inlineStr"/>
      <c r="N63" t="inlineStr"/>
    </row>
    <row r="64">
      <c r="A64" s="1" t="inlineStr">
        <is>
          <t>2021-05-24</t>
        </is>
      </c>
      <c r="B64" t="inlineStr">
        <is>
          <t>news</t>
        </is>
      </c>
      <c r="C64" t="inlineStr">
        <is>
          <t>economy</t>
        </is>
      </c>
      <c r="D64" t="inlineStr">
        <is>
          <t>머니투데이</t>
        </is>
      </c>
      <c r="E64" t="inlineStr">
        <is>
          <t>김성은</t>
        </is>
      </c>
      <c r="F64" t="inlineStr">
        <is>
          <t>배터리 수주잔고 80조→130조원…'잃어버린 시간' 찾는 SK이노</t>
        </is>
      </c>
      <c r="G64" s="2">
        <f>HYPERLINK("http://news.mt.co.kr/mtview.php?no=2021052415395398311", "Go to Website")</f>
        <v/>
      </c>
      <c r="H64" t="inlineStr"/>
      <c r="I64" t="inlineStr">
        <is>
          <t>K64</t>
        </is>
      </c>
      <c r="J64" s="3" t="n">
        <v>0.999</v>
      </c>
      <c r="K64" t="inlineStr">
        <is>
          <t>금융업</t>
        </is>
      </c>
      <c r="L64" t="inlineStr"/>
      <c r="M64" t="inlineStr"/>
      <c r="N64" t="inlineStr"/>
    </row>
    <row r="65">
      <c r="A65" s="1" t="inlineStr">
        <is>
          <t>2021-05-24</t>
        </is>
      </c>
      <c r="B65" t="inlineStr">
        <is>
          <t>news</t>
        </is>
      </c>
      <c r="C65" t="inlineStr">
        <is>
          <t>economy</t>
        </is>
      </c>
      <c r="D65" t="inlineStr">
        <is>
          <t>이데일리</t>
        </is>
      </c>
      <c r="E65" t="inlineStr">
        <is>
          <t>이은정</t>
        </is>
      </c>
      <c r="F65" t="inlineStr">
        <is>
          <t>'네비게이터' 꺼내든 한국투신운용…액티브 ETF 선점 드라이브</t>
        </is>
      </c>
      <c r="G65" s="2">
        <f>HYPERLINK("http://www.edaily.co.kr/news/newspath.asp?newsid=03348886629052200", "Go to Website")</f>
        <v/>
      </c>
      <c r="H65" t="inlineStr"/>
      <c r="I65" t="inlineStr">
        <is>
          <t>K64</t>
        </is>
      </c>
      <c r="J65" s="3" t="n">
        <v>0.999</v>
      </c>
      <c r="K65" t="inlineStr">
        <is>
          <t>금융업</t>
        </is>
      </c>
      <c r="L65" t="inlineStr">
        <is>
          <t>0</t>
        </is>
      </c>
      <c r="M65" s="3" t="n">
        <v>0.975</v>
      </c>
      <c r="N65" t="inlineStr">
        <is>
          <t>중립</t>
        </is>
      </c>
    </row>
    <row r="66">
      <c r="A66" s="1" t="inlineStr">
        <is>
          <t>2021-05-24</t>
        </is>
      </c>
      <c r="B66" t="inlineStr">
        <is>
          <t>news</t>
        </is>
      </c>
      <c r="C66" t="inlineStr">
        <is>
          <t>economy</t>
        </is>
      </c>
      <c r="D66" t="inlineStr">
        <is>
          <t>아이뉴스24</t>
        </is>
      </c>
      <c r="E66" t="inlineStr">
        <is>
          <t>장유미</t>
        </is>
      </c>
      <c r="F66" t="inlineStr">
        <is>
          <t>트럼프 극찬 받던 롯데, 文 방미 경제사절단서 쏙 빠진 이유는</t>
        </is>
      </c>
      <c r="G66" s="2">
        <f>HYPERLINK("http://www.inews24.com/view/1369590", "Go to Website")</f>
        <v/>
      </c>
      <c r="H66" t="inlineStr"/>
      <c r="I66" t="inlineStr">
        <is>
          <t>C33</t>
        </is>
      </c>
      <c r="J66" s="3" t="n">
        <v>0.404</v>
      </c>
      <c r="K66" t="inlineStr">
        <is>
          <t>기타 제품 제조업</t>
        </is>
      </c>
      <c r="L66" t="inlineStr"/>
      <c r="M66" t="inlineStr"/>
      <c r="N66" t="inlineStr"/>
    </row>
    <row r="67">
      <c r="A67" s="1" t="inlineStr">
        <is>
          <t>2021-05-24</t>
        </is>
      </c>
      <c r="B67" t="inlineStr">
        <is>
          <t>news</t>
        </is>
      </c>
      <c r="C67" t="inlineStr">
        <is>
          <t>economy</t>
        </is>
      </c>
      <c r="D67" t="inlineStr">
        <is>
          <t>뉴시스</t>
        </is>
      </c>
      <c r="E67" t="inlineStr">
        <is>
          <t>배성윤</t>
        </is>
      </c>
      <c r="F67" t="inlineStr">
        <is>
          <t>이재명, 현대차연구소 방문…"공정한 경쟁 환경이 중요"</t>
        </is>
      </c>
      <c r="G67" s="2">
        <f>HYPERLINK("http://www.newsis.com/view/?id=NISX20210524_0001451285&amp;cID=10817&amp;pID=14000", "Go to Website")</f>
        <v/>
      </c>
      <c r="H67" t="inlineStr"/>
      <c r="I67" t="inlineStr">
        <is>
          <t>C30</t>
        </is>
      </c>
      <c r="J67" s="3" t="n">
        <v>1</v>
      </c>
      <c r="K67" t="inlineStr">
        <is>
          <t>자동차 및 트레일러 제조업</t>
        </is>
      </c>
      <c r="L67" t="inlineStr">
        <is>
          <t>0</t>
        </is>
      </c>
      <c r="M67" s="3" t="n">
        <v>0.996</v>
      </c>
      <c r="N67" t="inlineStr">
        <is>
          <t>중립</t>
        </is>
      </c>
    </row>
    <row r="68">
      <c r="A68" s="1" t="inlineStr">
        <is>
          <t>2021-05-24</t>
        </is>
      </c>
      <c r="B68" t="inlineStr">
        <is>
          <t>news</t>
        </is>
      </c>
      <c r="C68" t="inlineStr">
        <is>
          <t>tech</t>
        </is>
      </c>
      <c r="D68" t="inlineStr">
        <is>
          <t>전자신문</t>
        </is>
      </c>
      <c r="E68" t="inlineStr">
        <is>
          <t>김지웅</t>
        </is>
      </c>
      <c r="F68" t="inlineStr">
        <is>
          <t>에너지머티리얼즈-에너테크, 전기차용 LFP 배터리 상용화 도전</t>
        </is>
      </c>
      <c r="G68" s="2">
        <f>HYPERLINK("http://www.etnews.com/20210524000100", "Go to Website")</f>
        <v/>
      </c>
      <c r="H68" t="inlineStr"/>
      <c r="I68" t="inlineStr"/>
      <c r="J68" t="inlineStr"/>
      <c r="K68" t="inlineStr"/>
      <c r="L68" t="inlineStr"/>
      <c r="M68" t="inlineStr"/>
      <c r="N68" t="inlineStr"/>
    </row>
    <row r="69">
      <c r="A69" s="1" t="inlineStr">
        <is>
          <t>2021-05-24</t>
        </is>
      </c>
      <c r="B69" t="inlineStr">
        <is>
          <t>news</t>
        </is>
      </c>
      <c r="C69" t="inlineStr">
        <is>
          <t>economy</t>
        </is>
      </c>
      <c r="D69" t="inlineStr">
        <is>
          <t>파이낸셜뉴스</t>
        </is>
      </c>
      <c r="E69" t="inlineStr">
        <is>
          <t>최종근</t>
        </is>
      </c>
      <c r="F69" t="inlineStr">
        <is>
          <t>기아, 2022년형부터 전차종 새 로고 단다</t>
        </is>
      </c>
      <c r="G69" s="2">
        <f>HYPERLINK("http://www.fnnews.com/news/202105241451151972", "Go to Website")</f>
        <v/>
      </c>
      <c r="H69" t="inlineStr"/>
      <c r="I69" t="inlineStr">
        <is>
          <t>C30</t>
        </is>
      </c>
      <c r="J69" s="3" t="n">
        <v>0.951</v>
      </c>
      <c r="K69" t="inlineStr">
        <is>
          <t>자동차 및 트레일러 제조업</t>
        </is>
      </c>
      <c r="L69" t="inlineStr">
        <is>
          <t>0</t>
        </is>
      </c>
      <c r="M69" s="3" t="n">
        <v>0.994</v>
      </c>
      <c r="N69" t="inlineStr">
        <is>
          <t>중립</t>
        </is>
      </c>
    </row>
    <row r="70">
      <c r="A70" s="1" t="inlineStr">
        <is>
          <t>2021-05-24</t>
        </is>
      </c>
      <c r="B70" t="inlineStr">
        <is>
          <t>news</t>
        </is>
      </c>
      <c r="C70" t="inlineStr">
        <is>
          <t>economy</t>
        </is>
      </c>
      <c r="D70" t="inlineStr">
        <is>
          <t>머니투데이</t>
        </is>
      </c>
      <c r="E70" t="inlineStr">
        <is>
          <t>우경희</t>
        </is>
      </c>
      <c r="F70" t="inlineStr">
        <is>
          <t>ESG로 美 놀래킨 최태원, '韓 재계 대표'에 힘 실린다</t>
        </is>
      </c>
      <c r="G70" s="2">
        <f>HYPERLINK("http://news.mt.co.kr/mtview.php?no=2021052415413315089", "Go to Website")</f>
        <v/>
      </c>
      <c r="H70" t="inlineStr"/>
      <c r="I70" t="inlineStr">
        <is>
          <t>K64</t>
        </is>
      </c>
      <c r="J70" s="3" t="n">
        <v>0.986</v>
      </c>
      <c r="K70" t="inlineStr">
        <is>
          <t>금융업</t>
        </is>
      </c>
      <c r="L70" t="inlineStr"/>
      <c r="M70" t="inlineStr"/>
      <c r="N70" t="inlineStr"/>
    </row>
    <row r="71">
      <c r="A71" s="1" t="inlineStr">
        <is>
          <t>2021-05-24</t>
        </is>
      </c>
      <c r="B71" t="inlineStr">
        <is>
          <t>news</t>
        </is>
      </c>
      <c r="C71" t="inlineStr">
        <is>
          <t>economy</t>
        </is>
      </c>
      <c r="D71" t="inlineStr">
        <is>
          <t>파이낸셜뉴스</t>
        </is>
      </c>
      <c r="E71" t="inlineStr">
        <is>
          <t>강구귀</t>
        </is>
      </c>
      <c r="F71" t="inlineStr">
        <is>
          <t>[단독][fn마켓워치]쌍용차 매각주관에 EY한영·미래에셋증권 도전장</t>
        </is>
      </c>
      <c r="G71" s="2">
        <f>HYPERLINK("http://www.fnnews.com/news/202105241545490337", "Go to Website")</f>
        <v/>
      </c>
      <c r="H71" t="inlineStr"/>
      <c r="I71" t="inlineStr">
        <is>
          <t>C30</t>
        </is>
      </c>
      <c r="J71" s="3" t="n">
        <v>0.454</v>
      </c>
      <c r="K71" t="inlineStr">
        <is>
          <t>자동차 및 트레일러 제조업</t>
        </is>
      </c>
      <c r="L71" t="inlineStr">
        <is>
          <t>0</t>
        </is>
      </c>
      <c r="M71" s="3" t="n">
        <v>0.877</v>
      </c>
      <c r="N71" t="inlineStr">
        <is>
          <t>중립</t>
        </is>
      </c>
    </row>
    <row r="72">
      <c r="A72" s="1" t="inlineStr">
        <is>
          <t>2021-05-24</t>
        </is>
      </c>
      <c r="B72" t="inlineStr">
        <is>
          <t>news</t>
        </is>
      </c>
      <c r="C72" t="inlineStr">
        <is>
          <t>tech</t>
        </is>
      </c>
      <c r="D72" t="inlineStr">
        <is>
          <t>머니투데이</t>
        </is>
      </c>
      <c r="E72" t="inlineStr">
        <is>
          <t>오상헌</t>
        </is>
      </c>
      <c r="F72" t="inlineStr">
        <is>
          <t>'데이터 바우처' 1230억 투입, 2580개 기업·기관 지원한다</t>
        </is>
      </c>
      <c r="G72" s="2">
        <f>HYPERLINK("http://news.mt.co.kr/mtview.php?no=2021052415454462315", "Go to Website")</f>
        <v/>
      </c>
      <c r="H72" t="inlineStr"/>
      <c r="I72" t="inlineStr"/>
      <c r="J72" t="inlineStr"/>
      <c r="K72" t="inlineStr"/>
      <c r="L72" t="inlineStr"/>
      <c r="M72" t="inlineStr"/>
      <c r="N72" t="inlineStr"/>
    </row>
    <row r="73">
      <c r="A73" s="1" t="inlineStr">
        <is>
          <t>2021-05-24</t>
        </is>
      </c>
      <c r="B73" t="inlineStr">
        <is>
          <t>news</t>
        </is>
      </c>
      <c r="C73" t="inlineStr">
        <is>
          <t>economy</t>
        </is>
      </c>
      <c r="D73" t="inlineStr">
        <is>
          <t>머니투데이</t>
        </is>
      </c>
      <c r="E73" t="inlineStr">
        <is>
          <t>김소연</t>
        </is>
      </c>
      <c r="F73" t="inlineStr">
        <is>
          <t>한투운용, 車·ESG 투자 액티브ETF 출시…"과거 영광 재현"</t>
        </is>
      </c>
      <c r="G73" s="2">
        <f>HYPERLINK("http://news.mt.co.kr/mtview.php?no=2021052414055541258", "Go to Website")</f>
        <v/>
      </c>
      <c r="H73" t="inlineStr"/>
      <c r="I73" t="inlineStr">
        <is>
          <t>K64</t>
        </is>
      </c>
      <c r="J73" s="3" t="n">
        <v>1</v>
      </c>
      <c r="K73" t="inlineStr">
        <is>
          <t>금융업</t>
        </is>
      </c>
      <c r="L73" t="inlineStr"/>
      <c r="M73" t="inlineStr"/>
      <c r="N73" t="inlineStr"/>
    </row>
    <row r="74">
      <c r="A74" s="1" t="inlineStr">
        <is>
          <t>2021-05-24</t>
        </is>
      </c>
      <c r="B74" t="inlineStr">
        <is>
          <t>news</t>
        </is>
      </c>
      <c r="C74" t="inlineStr">
        <is>
          <t>economy</t>
        </is>
      </c>
      <c r="D74" t="inlineStr">
        <is>
          <t>파이낸셜뉴스</t>
        </is>
      </c>
      <c r="E74" t="inlineStr">
        <is>
          <t>김병덕</t>
        </is>
      </c>
      <c r="F74" t="inlineStr">
        <is>
          <t>아이오닉5 출고 지연 ...볼트EV·니로EV 반사이익 기대</t>
        </is>
      </c>
      <c r="G74" s="2">
        <f>HYPERLINK("http://www.fnnews.com/news/202105241526192944", "Go to Website")</f>
        <v/>
      </c>
      <c r="H74" t="inlineStr"/>
      <c r="I74" t="inlineStr">
        <is>
          <t>N76</t>
        </is>
      </c>
      <c r="J74" s="3" t="n">
        <v>0.741</v>
      </c>
      <c r="K74" t="inlineStr">
        <is>
          <t>임대업; 부동산 제외</t>
        </is>
      </c>
      <c r="L74" t="inlineStr"/>
      <c r="M74" t="inlineStr"/>
      <c r="N74" t="inlineStr"/>
    </row>
    <row r="75">
      <c r="A75" s="1" t="inlineStr">
        <is>
          <t>2021-05-24</t>
        </is>
      </c>
      <c r="B75" t="inlineStr">
        <is>
          <t>news</t>
        </is>
      </c>
      <c r="C75" t="inlineStr">
        <is>
          <t>tech</t>
        </is>
      </c>
      <c r="D75" t="inlineStr">
        <is>
          <t>전자신문</t>
        </is>
      </c>
      <c r="E75" t="inlineStr">
        <is>
          <t>정용철</t>
        </is>
      </c>
      <c r="F75" t="inlineStr">
        <is>
          <t>LG전자, 헬스케어 역량 확보 시동...미래 먹거리로 점찍어</t>
        </is>
      </c>
      <c r="G75" s="2">
        <f>HYPERLINK("http://www.etnews.com/20210524000196", "Go to Website")</f>
        <v/>
      </c>
      <c r="H75" t="inlineStr"/>
      <c r="I75" t="inlineStr"/>
      <c r="J75" t="inlineStr"/>
      <c r="K75" t="inlineStr"/>
      <c r="L75" t="inlineStr"/>
      <c r="M75" t="inlineStr"/>
      <c r="N75" t="inlineStr"/>
    </row>
    <row r="76">
      <c r="A76" s="1" t="inlineStr">
        <is>
          <t>2021-05-24</t>
        </is>
      </c>
      <c r="B76" t="inlineStr">
        <is>
          <t>news</t>
        </is>
      </c>
      <c r="C76" t="inlineStr">
        <is>
          <t>economy</t>
        </is>
      </c>
      <c r="D76" t="inlineStr">
        <is>
          <t>디지털타임스</t>
        </is>
      </c>
      <c r="E76" t="inlineStr">
        <is>
          <t>강민성</t>
        </is>
      </c>
      <c r="F76" t="inlineStr">
        <is>
          <t>조선·해운·석유화학·제철기업 유보금 감소...업종별 K자 양극화 심화</t>
        </is>
      </c>
      <c r="G76" s="2">
        <f>HYPERLINK("http://www.dt.co.kr/contents.html?article_no=2021052402109958027004", "Go to Website")</f>
        <v/>
      </c>
      <c r="H76" t="inlineStr"/>
      <c r="I76" t="inlineStr">
        <is>
          <t>C24</t>
        </is>
      </c>
      <c r="J76" s="3" t="n">
        <v>0.617</v>
      </c>
      <c r="K76" t="inlineStr">
        <is>
          <t>1차 금속 제조업</t>
        </is>
      </c>
      <c r="L76" t="inlineStr"/>
      <c r="M76" t="inlineStr"/>
      <c r="N76" t="inlineStr"/>
    </row>
    <row r="77">
      <c r="A77" s="1" t="inlineStr">
        <is>
          <t>2021-05-24</t>
        </is>
      </c>
      <c r="B77" t="inlineStr">
        <is>
          <t>news</t>
        </is>
      </c>
      <c r="C77" t="inlineStr">
        <is>
          <t>economy</t>
        </is>
      </c>
      <c r="D77" t="inlineStr">
        <is>
          <t>전자신문</t>
        </is>
      </c>
      <c r="E77" t="inlineStr">
        <is>
          <t>박준호</t>
        </is>
      </c>
      <c r="F77" t="inlineStr">
        <is>
          <t>롯데그룹이 살아났다…1년새 영업익 10배 껑충</t>
        </is>
      </c>
      <c r="G77" s="2">
        <f>HYPERLINK("http://www.etnews.com/20210524000193", "Go to Website")</f>
        <v/>
      </c>
      <c r="H77" t="inlineStr"/>
      <c r="I77" t="inlineStr">
        <is>
          <t>A03</t>
        </is>
      </c>
      <c r="J77" s="3" t="n">
        <v>0.676</v>
      </c>
      <c r="K77" t="inlineStr">
        <is>
          <t>어업</t>
        </is>
      </c>
      <c r="L77" t="inlineStr"/>
      <c r="M77" t="inlineStr"/>
      <c r="N77" t="inlineStr"/>
    </row>
    <row r="78">
      <c r="A78" s="1" t="inlineStr">
        <is>
          <t>2021-05-24</t>
        </is>
      </c>
      <c r="B78" t="inlineStr">
        <is>
          <t>news</t>
        </is>
      </c>
      <c r="C78" t="inlineStr">
        <is>
          <t>tech</t>
        </is>
      </c>
      <c r="D78" t="inlineStr">
        <is>
          <t>ZDNet Korea</t>
        </is>
      </c>
      <c r="E78" t="inlineStr">
        <is>
          <t>주문정</t>
        </is>
      </c>
      <c r="F78" t="inlineStr">
        <is>
          <t>산업부, 산업 디지털전환 6대 선도 R&amp;D에 총 279억 투입</t>
        </is>
      </c>
      <c r="G78" s="2">
        <f>HYPERLINK("https://zdnet.co.kr/view/?no=20210524152729", "Go to Website")</f>
        <v/>
      </c>
      <c r="H78" t="inlineStr"/>
      <c r="I78" t="inlineStr"/>
      <c r="J78" t="inlineStr"/>
      <c r="K78" t="inlineStr"/>
      <c r="L78" t="inlineStr"/>
      <c r="M78" t="inlineStr"/>
      <c r="N78" t="inlineStr"/>
    </row>
    <row r="79">
      <c r="A79" s="1" t="inlineStr">
        <is>
          <t>2021-05-24</t>
        </is>
      </c>
      <c r="B79" t="inlineStr">
        <is>
          <t>news</t>
        </is>
      </c>
      <c r="C79" t="inlineStr">
        <is>
          <t>economy</t>
        </is>
      </c>
      <c r="D79" t="inlineStr">
        <is>
          <t>연합뉴스</t>
        </is>
      </c>
      <c r="E79" t="inlineStr">
        <is>
          <t>김계환</t>
        </is>
      </c>
      <c r="F79" t="inlineStr">
        <is>
          <t>"테슬라 2분기 실적에 투자 비트코인 손실 반영 가능성"</t>
        </is>
      </c>
      <c r="G79" s="2">
        <f>HYPERLINK("http://yna.kr/AKR20210524102000009?did=1195m", "Go to Website")</f>
        <v/>
      </c>
      <c r="H79" t="inlineStr"/>
      <c r="I79" t="inlineStr">
        <is>
          <t>100</t>
        </is>
      </c>
      <c r="J79" s="3" t="n">
        <v>0.413</v>
      </c>
      <c r="K79" t="inlineStr">
        <is>
          <t>분류 제외, 기타</t>
        </is>
      </c>
      <c r="L79" t="inlineStr"/>
      <c r="M79" t="inlineStr"/>
      <c r="N79" t="inlineStr"/>
    </row>
    <row r="80">
      <c r="A80" s="1" t="inlineStr">
        <is>
          <t>2021-05-24</t>
        </is>
      </c>
      <c r="B80" t="inlineStr">
        <is>
          <t>news</t>
        </is>
      </c>
      <c r="C80" t="inlineStr">
        <is>
          <t>economy</t>
        </is>
      </c>
      <c r="D80" t="inlineStr">
        <is>
          <t>디지털타임스</t>
        </is>
      </c>
      <c r="E80" t="inlineStr">
        <is>
          <t>김병탁</t>
        </is>
      </c>
      <c r="F80" t="inlineStr">
        <is>
          <t>한투운용, 친환경차·ESG 투자 `주식형 액티브 ETF 2종` 출시</t>
        </is>
      </c>
      <c r="G80" s="2">
        <f>HYPERLINK("http://www.dt.co.kr/contents.html?article_no=2021052402109963040002", "Go to Website")</f>
        <v/>
      </c>
      <c r="H80" t="inlineStr"/>
      <c r="I80" t="inlineStr">
        <is>
          <t>K64</t>
        </is>
      </c>
      <c r="J80" s="3" t="n">
        <v>1</v>
      </c>
      <c r="K80" t="inlineStr">
        <is>
          <t>금융업</t>
        </is>
      </c>
      <c r="L80" t="inlineStr">
        <is>
          <t>1</t>
        </is>
      </c>
      <c r="M80" s="3" t="n">
        <v>0.945</v>
      </c>
      <c r="N80" t="inlineStr">
        <is>
          <t>긍정</t>
        </is>
      </c>
    </row>
    <row r="81">
      <c r="A81" s="1" t="inlineStr">
        <is>
          <t>2021-05-24</t>
        </is>
      </c>
      <c r="B81" t="inlineStr">
        <is>
          <t>news</t>
        </is>
      </c>
      <c r="C81" t="inlineStr">
        <is>
          <t>economy</t>
        </is>
      </c>
      <c r="D81" t="inlineStr">
        <is>
          <t>헤럴드경제</t>
        </is>
      </c>
      <c r="E81" t="inlineStr">
        <is>
          <t>정찬수</t>
        </is>
      </c>
      <c r="F81" t="inlineStr">
        <is>
          <t>‘반도체 수급난’ 기아 美 조지아 공장도 27∼28일 중단</t>
        </is>
      </c>
      <c r="G81" s="2">
        <f>HYPERLINK("http://news.heraldcorp.com/view.php?ud=20210524000806", "Go to Website")</f>
        <v/>
      </c>
      <c r="H81" t="inlineStr"/>
      <c r="I81" t="inlineStr">
        <is>
          <t>C23</t>
        </is>
      </c>
      <c r="J81" s="3" t="n">
        <v>0.657</v>
      </c>
      <c r="K81" t="inlineStr">
        <is>
          <t>비금속 광물제품 제조업</t>
        </is>
      </c>
      <c r="L81" t="inlineStr">
        <is>
          <t>-1</t>
        </is>
      </c>
      <c r="M81" s="3" t="n">
        <v>0.913</v>
      </c>
      <c r="N81" t="inlineStr">
        <is>
          <t>부정</t>
        </is>
      </c>
    </row>
    <row r="82">
      <c r="A82" s="1" t="inlineStr">
        <is>
          <t>2021-05-24</t>
        </is>
      </c>
      <c r="B82" t="inlineStr">
        <is>
          <t>news</t>
        </is>
      </c>
      <c r="C82" t="inlineStr">
        <is>
          <t>economy</t>
        </is>
      </c>
      <c r="D82" t="inlineStr">
        <is>
          <t>데일리안</t>
        </is>
      </c>
      <c r="E82" t="inlineStr">
        <is>
          <t>백서원</t>
        </is>
      </c>
      <c r="F82" t="inlineStr">
        <is>
          <t>실력산업, 26일부터 K-OTC서 거래</t>
        </is>
      </c>
      <c r="G82" s="2">
        <f>HYPERLINK("https://www.dailian.co.kr/news/view/994122/", "Go to Website")</f>
        <v/>
      </c>
      <c r="H82" t="inlineStr"/>
      <c r="I82" t="inlineStr">
        <is>
          <t>100</t>
        </is>
      </c>
      <c r="J82" s="3" t="n">
        <v>0.486</v>
      </c>
      <c r="K82" t="inlineStr">
        <is>
          <t>분류 제외, 기타</t>
        </is>
      </c>
      <c r="L82" t="inlineStr"/>
      <c r="M82" t="inlineStr"/>
      <c r="N82" t="inlineStr"/>
    </row>
    <row r="83">
      <c r="A83" s="1" t="inlineStr">
        <is>
          <t>2021-05-24</t>
        </is>
      </c>
      <c r="B83" t="inlineStr">
        <is>
          <t>news</t>
        </is>
      </c>
      <c r="C83" t="inlineStr">
        <is>
          <t>economy</t>
        </is>
      </c>
      <c r="D83" t="inlineStr">
        <is>
          <t>전자신문</t>
        </is>
      </c>
      <c r="E83" t="inlineStr">
        <is>
          <t>김지선</t>
        </is>
      </c>
      <c r="F83" t="inlineStr">
        <is>
          <t>토종 SCM기업 드림아이즈, 외산 뚫고 베트남 화승공장 SCM 구축</t>
        </is>
      </c>
      <c r="G83" s="2">
        <f>HYPERLINK("http://www.etnews.com/20210524000102", "Go to Website")</f>
        <v/>
      </c>
      <c r="H83" t="inlineStr"/>
      <c r="I83" t="inlineStr">
        <is>
          <t>C20</t>
        </is>
      </c>
      <c r="J83" s="3" t="n">
        <v>0.36</v>
      </c>
      <c r="K83" t="inlineStr">
        <is>
          <t>화학 물질 및 화학제품 제조업; 의약품 제외</t>
        </is>
      </c>
      <c r="L83" t="inlineStr"/>
      <c r="M83" t="inlineStr"/>
      <c r="N83" t="inlineStr"/>
    </row>
    <row r="84">
      <c r="A84" s="1" t="inlineStr">
        <is>
          <t>2021-05-24</t>
        </is>
      </c>
      <c r="B84" t="inlineStr">
        <is>
          <t>news</t>
        </is>
      </c>
      <c r="C84" t="inlineStr">
        <is>
          <t>economy</t>
        </is>
      </c>
      <c r="D84" t="inlineStr">
        <is>
          <t>이데일리</t>
        </is>
      </c>
      <c r="E84" t="inlineStr">
        <is>
          <t>김영수</t>
        </is>
      </c>
      <c r="F84" t="inlineStr">
        <is>
          <t>"전기차 폐배터리 재활용 시장 잡아라"..SK·LG 등 글로벌 경쟁 본격화</t>
        </is>
      </c>
      <c r="G84" s="2">
        <f>HYPERLINK("http://www.edaily.co.kr/news/newspath.asp?newsid=02886406629052200", "Go to Website")</f>
        <v/>
      </c>
      <c r="H84" t="inlineStr"/>
      <c r="I84" t="inlineStr">
        <is>
          <t>C28</t>
        </is>
      </c>
      <c r="J84" s="3" t="n">
        <v>0.58</v>
      </c>
      <c r="K84" t="inlineStr">
        <is>
          <t>전기장비 제조업</t>
        </is>
      </c>
      <c r="L84" t="inlineStr"/>
      <c r="M84" t="inlineStr"/>
      <c r="N84" t="inlineStr"/>
    </row>
    <row r="85">
      <c r="A85" s="1" t="inlineStr">
        <is>
          <t>2021-05-24</t>
        </is>
      </c>
      <c r="B85" t="inlineStr">
        <is>
          <t>news</t>
        </is>
      </c>
      <c r="C85" t="inlineStr">
        <is>
          <t>economy</t>
        </is>
      </c>
      <c r="D85" t="inlineStr">
        <is>
          <t>연합뉴스</t>
        </is>
      </c>
      <c r="E85" t="inlineStr">
        <is>
          <t>장하나</t>
        </is>
      </c>
      <c r="F85" t="inlineStr">
        <is>
          <t>반도체 수급난 일파만파…기아 美 조지아 공장도 27∼28일 중단</t>
        </is>
      </c>
      <c r="G85" s="2">
        <f>HYPERLINK("http://yna.kr/AKR20210524099800003?did=1195m", "Go to Website")</f>
        <v/>
      </c>
      <c r="H85" t="inlineStr"/>
      <c r="I85" t="inlineStr">
        <is>
          <t>C30</t>
        </is>
      </c>
      <c r="J85" s="3" t="n">
        <v>0.874</v>
      </c>
      <c r="K85" t="inlineStr">
        <is>
          <t>자동차 및 트레일러 제조업</t>
        </is>
      </c>
      <c r="L85" t="inlineStr">
        <is>
          <t>-1</t>
        </is>
      </c>
      <c r="M85" s="3" t="n">
        <v>0.982</v>
      </c>
      <c r="N85" t="inlineStr">
        <is>
          <t>부정</t>
        </is>
      </c>
    </row>
    <row r="86">
      <c r="A86" s="1" t="inlineStr">
        <is>
          <t>2021-05-24</t>
        </is>
      </c>
      <c r="B86" t="inlineStr">
        <is>
          <t>news</t>
        </is>
      </c>
      <c r="C86" t="inlineStr">
        <is>
          <t>economy</t>
        </is>
      </c>
      <c r="D86" t="inlineStr">
        <is>
          <t>연합뉴스</t>
        </is>
      </c>
      <c r="E86" t="inlineStr">
        <is>
          <t>성혜미</t>
        </is>
      </c>
      <c r="F86" t="inlineStr">
        <is>
          <t>인도네시아 투자조정장관 방한…LG·현대차 CEO 등 연쇄 면담</t>
        </is>
      </c>
      <c r="G86" s="2">
        <f>HYPERLINK("http://yna.kr/AKR20210524093700104?did=1195m", "Go to Website")</f>
        <v/>
      </c>
      <c r="H86" t="inlineStr"/>
      <c r="I86" t="inlineStr">
        <is>
          <t>K64</t>
        </is>
      </c>
      <c r="J86" s="3" t="n">
        <v>0.893</v>
      </c>
      <c r="K86" t="inlineStr">
        <is>
          <t>금융업</t>
        </is>
      </c>
      <c r="L86" t="inlineStr"/>
      <c r="M86" t="inlineStr"/>
      <c r="N86" t="inlineStr"/>
    </row>
    <row r="87">
      <c r="A87" s="1" t="inlineStr">
        <is>
          <t>2021-05-24</t>
        </is>
      </c>
      <c r="B87" t="inlineStr">
        <is>
          <t>news</t>
        </is>
      </c>
      <c r="C87" t="inlineStr">
        <is>
          <t>economy</t>
        </is>
      </c>
      <c r="D87" t="inlineStr">
        <is>
          <t>연합뉴스</t>
        </is>
      </c>
      <c r="E87" t="inlineStr">
        <is>
          <t>고성식</t>
        </is>
      </c>
      <c r="F87" t="inlineStr">
        <is>
          <t>원희룡 "지방자치단체 간 '녹색성장 도시 동맹' 결정 제안"</t>
        </is>
      </c>
      <c r="G87" s="2">
        <f>HYPERLINK("http://yna.kr/AKR20210524096700056?did=1195m", "Go to Website")</f>
        <v/>
      </c>
      <c r="H87" t="inlineStr"/>
      <c r="I87" t="inlineStr">
        <is>
          <t>A02</t>
        </is>
      </c>
      <c r="J87" s="3" t="n">
        <v>1</v>
      </c>
      <c r="K87" t="inlineStr">
        <is>
          <t>임업</t>
        </is>
      </c>
      <c r="L87" t="inlineStr"/>
      <c r="M87" t="inlineStr"/>
      <c r="N87" t="inlineStr"/>
    </row>
    <row r="88">
      <c r="A88" s="1" t="inlineStr">
        <is>
          <t>2021-05-24</t>
        </is>
      </c>
      <c r="B88" t="inlineStr">
        <is>
          <t>news</t>
        </is>
      </c>
      <c r="C88" t="inlineStr">
        <is>
          <t>economy</t>
        </is>
      </c>
      <c r="D88" t="inlineStr">
        <is>
          <t>한국경제</t>
        </is>
      </c>
      <c r="E88" t="inlineStr">
        <is>
          <t>구은서</t>
        </is>
      </c>
      <c r="F88" t="inlineStr">
        <is>
          <t>액티브 ETF 8종목 25일 동시 출격…어떤 종목에 투자할까</t>
        </is>
      </c>
      <c r="G88" s="2">
        <f>HYPERLINK("https://www.hankyung.com/finance/article/202105242298i", "Go to Website")</f>
        <v/>
      </c>
      <c r="H88" t="inlineStr"/>
      <c r="I88" t="inlineStr">
        <is>
          <t>K64</t>
        </is>
      </c>
      <c r="J88" s="3" t="n">
        <v>1</v>
      </c>
      <c r="K88" t="inlineStr">
        <is>
          <t>금융업</t>
        </is>
      </c>
      <c r="L88" t="inlineStr">
        <is>
          <t>0</t>
        </is>
      </c>
      <c r="M88" s="3" t="n">
        <v>0.994</v>
      </c>
      <c r="N88" t="inlineStr">
        <is>
          <t>중립</t>
        </is>
      </c>
    </row>
    <row r="89">
      <c r="A89" s="1" t="inlineStr">
        <is>
          <t>2021-05-24</t>
        </is>
      </c>
      <c r="B89" t="inlineStr">
        <is>
          <t>news</t>
        </is>
      </c>
      <c r="C89" t="inlineStr">
        <is>
          <t>economy</t>
        </is>
      </c>
      <c r="D89" t="inlineStr">
        <is>
          <t>아시아경제</t>
        </is>
      </c>
      <c r="E89" t="inlineStr">
        <is>
          <t>이민지</t>
        </is>
      </c>
      <c r="F89" t="inlineStr">
        <is>
          <t>K-OTC시장, ‘실력산업’ 신규등록승인, 26일부터 거래</t>
        </is>
      </c>
      <c r="G89" s="2">
        <f>HYPERLINK("https://view.asiae.co.kr/article/2021052414224693869", "Go to Website")</f>
        <v/>
      </c>
      <c r="H89" t="inlineStr"/>
      <c r="I89" t="inlineStr">
        <is>
          <t>100</t>
        </is>
      </c>
      <c r="J89" s="3" t="n">
        <v>0.851</v>
      </c>
      <c r="K89" t="inlineStr">
        <is>
          <t>분류 제외, 기타</t>
        </is>
      </c>
      <c r="L89" t="inlineStr"/>
      <c r="M89" t="inlineStr"/>
      <c r="N89" t="inlineStr"/>
    </row>
    <row r="90">
      <c r="A90" s="1" t="inlineStr">
        <is>
          <t>2021-05-24</t>
        </is>
      </c>
      <c r="B90" t="inlineStr">
        <is>
          <t>news</t>
        </is>
      </c>
      <c r="C90" t="inlineStr">
        <is>
          <t>economy</t>
        </is>
      </c>
      <c r="D90" t="inlineStr">
        <is>
          <t>아시아경제</t>
        </is>
      </c>
      <c r="E90" t="inlineStr">
        <is>
          <t>김희윤</t>
        </is>
      </c>
      <c r="F90" t="inlineStr">
        <is>
          <t>[아시아초대석] “중기 ESG경영은 대기업과 상생협력에서 출발”</t>
        </is>
      </c>
      <c r="G90" s="2">
        <f>HYPERLINK("https://view.asiae.co.kr/article/2021052115250934552", "Go to Website")</f>
        <v/>
      </c>
      <c r="H90" t="inlineStr"/>
      <c r="I90" t="inlineStr">
        <is>
          <t>K65</t>
        </is>
      </c>
      <c r="J90" s="3" t="n">
        <v>0.999</v>
      </c>
      <c r="K90" t="inlineStr">
        <is>
          <t>보험 및 연금업</t>
        </is>
      </c>
      <c r="L90" t="inlineStr"/>
      <c r="M90" t="inlineStr"/>
      <c r="N90" t="inlineStr"/>
    </row>
    <row r="91">
      <c r="A91" s="1" t="inlineStr">
        <is>
          <t>2021-05-24</t>
        </is>
      </c>
      <c r="B91" t="inlineStr">
        <is>
          <t>news</t>
        </is>
      </c>
      <c r="C91" t="inlineStr">
        <is>
          <t>economy</t>
        </is>
      </c>
      <c r="D91" t="inlineStr">
        <is>
          <t>전자신문</t>
        </is>
      </c>
      <c r="E91" t="inlineStr">
        <is>
          <t>윤희석</t>
        </is>
      </c>
      <c r="F91" t="inlineStr">
        <is>
          <t>정부, '6대 선도 R&amp;D'로 산업 디지털 전환 박차</t>
        </is>
      </c>
      <c r="G91" s="2">
        <f>HYPERLINK("http://www.etnews.com/20210524000159", "Go to Website")</f>
        <v/>
      </c>
      <c r="H91" t="inlineStr"/>
      <c r="I91" t="inlineStr">
        <is>
          <t>100</t>
        </is>
      </c>
      <c r="J91" s="3" t="n">
        <v>0.742</v>
      </c>
      <c r="K91" t="inlineStr">
        <is>
          <t>분류 제외, 기타</t>
        </is>
      </c>
      <c r="L91" t="inlineStr"/>
      <c r="M91" t="inlineStr"/>
      <c r="N91" t="inlineStr"/>
    </row>
    <row r="92">
      <c r="A92" s="1" t="inlineStr">
        <is>
          <t>2021-05-24</t>
        </is>
      </c>
      <c r="B92" t="inlineStr">
        <is>
          <t>news</t>
        </is>
      </c>
      <c r="C92" t="inlineStr">
        <is>
          <t>economy</t>
        </is>
      </c>
      <c r="D92" t="inlineStr">
        <is>
          <t>전자신문</t>
        </is>
      </c>
      <c r="E92" t="inlineStr">
        <is>
          <t>김정희</t>
        </is>
      </c>
      <c r="F92" t="inlineStr">
        <is>
          <t>이재명, 현대차硏 찾아 “창의적 기업 역량 발휘, 공정한 경쟁 환경이 중요”</t>
        </is>
      </c>
      <c r="G92" s="2">
        <f>HYPERLINK("http://www.etnews.com/20210524000150", "Go to Website")</f>
        <v/>
      </c>
      <c r="H92" t="inlineStr"/>
      <c r="I92" t="inlineStr">
        <is>
          <t>C30</t>
        </is>
      </c>
      <c r="J92" s="3" t="n">
        <v>0.996</v>
      </c>
      <c r="K92" t="inlineStr">
        <is>
          <t>자동차 및 트레일러 제조업</t>
        </is>
      </c>
      <c r="L92" t="inlineStr">
        <is>
          <t>0</t>
        </is>
      </c>
      <c r="M92" s="3" t="n">
        <v>0.998</v>
      </c>
      <c r="N92" t="inlineStr">
        <is>
          <t>중립</t>
        </is>
      </c>
    </row>
    <row r="93">
      <c r="A93" s="1" t="inlineStr">
        <is>
          <t>2021-05-24</t>
        </is>
      </c>
      <c r="B93" t="inlineStr">
        <is>
          <t>news</t>
        </is>
      </c>
      <c r="C93" t="inlineStr">
        <is>
          <t>economy</t>
        </is>
      </c>
      <c r="D93" t="inlineStr">
        <is>
          <t>전자신문</t>
        </is>
      </c>
      <c r="E93" t="inlineStr">
        <is>
          <t>김지선</t>
        </is>
      </c>
      <c r="F93" t="inlineStr">
        <is>
          <t>과기정통부, 데이터 바우처 2580개 수요기업 선정…평균 2.4대1 경쟁률 기록</t>
        </is>
      </c>
      <c r="G93" s="2">
        <f>HYPERLINK("http://www.etnews.com/20210524000147", "Go to Website")</f>
        <v/>
      </c>
      <c r="H93" t="inlineStr"/>
      <c r="I93" t="inlineStr">
        <is>
          <t>100</t>
        </is>
      </c>
      <c r="J93" s="3" t="n">
        <v>0.993</v>
      </c>
      <c r="K93" t="inlineStr">
        <is>
          <t>분류 제외, 기타</t>
        </is>
      </c>
      <c r="L93" t="inlineStr"/>
      <c r="M93" t="inlineStr"/>
      <c r="N93" t="inlineStr"/>
    </row>
    <row r="94">
      <c r="A94" s="1" t="inlineStr">
        <is>
          <t>2021-05-24</t>
        </is>
      </c>
      <c r="B94" t="inlineStr">
        <is>
          <t>news</t>
        </is>
      </c>
      <c r="C94" t="inlineStr">
        <is>
          <t>economy</t>
        </is>
      </c>
      <c r="D94" t="inlineStr">
        <is>
          <t>헤럴드경제</t>
        </is>
      </c>
      <c r="E94" t="inlineStr">
        <is>
          <t>김현경</t>
        </is>
      </c>
      <c r="F94" t="inlineStr">
        <is>
          <t>주춤하는 민감주…한미 정상회담 효과 반도체·자동차·바이오 꿈틀 [株포트라이트]</t>
        </is>
      </c>
      <c r="G94" s="2">
        <f>HYPERLINK("http://news.heraldcorp.com/view.php?ud=20210524000738", "Go to Website")</f>
        <v/>
      </c>
      <c r="H94" t="inlineStr"/>
      <c r="I94" t="inlineStr">
        <is>
          <t>C29</t>
        </is>
      </c>
      <c r="J94" s="3" t="n">
        <v>0.699</v>
      </c>
      <c r="K94" t="inlineStr">
        <is>
          <t>기타 기계 및 장비 제조업</t>
        </is>
      </c>
      <c r="L94" t="inlineStr"/>
      <c r="M94" t="inlineStr"/>
      <c r="N94" t="inlineStr"/>
    </row>
    <row r="95">
      <c r="A95" s="1" t="inlineStr">
        <is>
          <t>2021-05-24</t>
        </is>
      </c>
      <c r="B95" t="inlineStr">
        <is>
          <t>news</t>
        </is>
      </c>
      <c r="C95" t="inlineStr">
        <is>
          <t>economy</t>
        </is>
      </c>
      <c r="D95" t="inlineStr">
        <is>
          <t>비즈니스워치</t>
        </is>
      </c>
      <c r="E95" t="inlineStr"/>
      <c r="F95" t="inlineStr">
        <is>
          <t>"그래서, ESG경영은 왜 해야하는가?"</t>
        </is>
      </c>
      <c r="G95" s="2">
        <f>HYPERLINK("http://news.bizwatch.co.kr/article/finance/2021/05/20/0005", "Go to Website")</f>
        <v/>
      </c>
      <c r="H95" t="inlineStr"/>
      <c r="I95" t="inlineStr">
        <is>
          <t>K64</t>
        </is>
      </c>
      <c r="J95" s="3" t="n">
        <v>0.552</v>
      </c>
      <c r="K95" t="inlineStr">
        <is>
          <t>금융업</t>
        </is>
      </c>
      <c r="L95" t="inlineStr"/>
      <c r="M95" t="inlineStr"/>
      <c r="N95" t="inlineStr"/>
    </row>
    <row r="96">
      <c r="A96" s="1" t="inlineStr">
        <is>
          <t>2021-05-24</t>
        </is>
      </c>
      <c r="B96" t="inlineStr">
        <is>
          <t>news</t>
        </is>
      </c>
      <c r="C96" t="inlineStr">
        <is>
          <t>economy</t>
        </is>
      </c>
      <c r="D96" t="inlineStr">
        <is>
          <t>한국경제TV</t>
        </is>
      </c>
      <c r="E96" t="inlineStr">
        <is>
          <t>오민지</t>
        </is>
      </c>
      <c r="F96" t="inlineStr">
        <is>
          <t>한국투자신탁운용, 주식형 액티브 ETF 2종 출시</t>
        </is>
      </c>
      <c r="G96" s="2">
        <f>HYPERLINK("http://www.wowtv.co.kr/NewsCenter/News/Read?articleId=A202105240213&amp;t=NN", "Go to Website")</f>
        <v/>
      </c>
      <c r="H96" t="inlineStr"/>
      <c r="I96" t="inlineStr">
        <is>
          <t>K64</t>
        </is>
      </c>
      <c r="J96" s="3" t="n">
        <v>1</v>
      </c>
      <c r="K96" t="inlineStr">
        <is>
          <t>금융업</t>
        </is>
      </c>
      <c r="L96" t="inlineStr">
        <is>
          <t>1</t>
        </is>
      </c>
      <c r="M96" s="3" t="n">
        <v>0.966</v>
      </c>
      <c r="N96" t="inlineStr">
        <is>
          <t>긍정</t>
        </is>
      </c>
    </row>
    <row r="97">
      <c r="A97" s="1" t="inlineStr">
        <is>
          <t>2021-05-24</t>
        </is>
      </c>
      <c r="B97" t="inlineStr">
        <is>
          <t>news</t>
        </is>
      </c>
      <c r="C97" t="inlineStr">
        <is>
          <t>economy</t>
        </is>
      </c>
      <c r="D97" t="inlineStr">
        <is>
          <t>헤럴드경제</t>
        </is>
      </c>
      <c r="E97" t="inlineStr">
        <is>
          <t>배문숙</t>
        </is>
      </c>
      <c r="F97" t="inlineStr">
        <is>
          <t>산업부, 미래차 등 주력산업 디지털전환 R&amp;D에 279억원 투입</t>
        </is>
      </c>
      <c r="G97" s="2">
        <f>HYPERLINK("http://news.heraldcorp.com/view.php?ud=20210524000714", "Go to Website")</f>
        <v/>
      </c>
      <c r="H97" t="inlineStr"/>
      <c r="I97" t="inlineStr">
        <is>
          <t>100</t>
        </is>
      </c>
      <c r="J97" s="3" t="n">
        <v>0.924</v>
      </c>
      <c r="K97" t="inlineStr">
        <is>
          <t>분류 제외, 기타</t>
        </is>
      </c>
      <c r="L97" t="inlineStr"/>
      <c r="M97" t="inlineStr"/>
      <c r="N97" t="inlineStr"/>
    </row>
    <row r="98">
      <c r="A98" s="1" t="inlineStr">
        <is>
          <t>2021-05-24</t>
        </is>
      </c>
      <c r="B98" t="inlineStr">
        <is>
          <t>news</t>
        </is>
      </c>
      <c r="C98" t="inlineStr">
        <is>
          <t>economy</t>
        </is>
      </c>
      <c r="D98" t="inlineStr">
        <is>
          <t>서울신문</t>
        </is>
      </c>
      <c r="E98" t="inlineStr"/>
      <c r="F98" t="inlineStr">
        <is>
          <t>6개 주력산업 디지털 전환 선도 R&amp;D 시작</t>
        </is>
      </c>
      <c r="G98" s="2">
        <f>HYPERLINK("https://www.seoul.co.kr/news/newsView.php?id=20210524500059", "Go to Website")</f>
        <v/>
      </c>
      <c r="H98" t="inlineStr"/>
      <c r="I98" t="inlineStr">
        <is>
          <t>M71</t>
        </is>
      </c>
      <c r="J98" s="3" t="n">
        <v>0.87</v>
      </c>
      <c r="K98" t="inlineStr">
        <is>
          <t>전문 서비스업</t>
        </is>
      </c>
      <c r="L98" t="inlineStr"/>
      <c r="M98" t="inlineStr"/>
      <c r="N98" t="inlineStr"/>
    </row>
    <row r="99">
      <c r="A99" s="1" t="inlineStr">
        <is>
          <t>2021-05-24</t>
        </is>
      </c>
      <c r="B99" t="inlineStr">
        <is>
          <t>news</t>
        </is>
      </c>
      <c r="C99" t="inlineStr">
        <is>
          <t>economy</t>
        </is>
      </c>
      <c r="D99" t="inlineStr">
        <is>
          <t>조선일보</t>
        </is>
      </c>
      <c r="E99" t="inlineStr">
        <is>
          <t>경제전문</t>
        </is>
      </c>
      <c r="F99" t="inlineStr">
        <is>
          <t>“지금은 코로나 초강세장 끝물…동학-서학 개미는 조심하라”</t>
        </is>
      </c>
      <c r="G99" s="2">
        <f>HYPERLINK("https://www.chosun.com/economy/stock-finance/2021/05/24/YGKLX6NYTNBJNDIZB7UIRYGCHE/?utm_medium=referral&amp;utm_campaign=naver-news", "Go to Website")</f>
        <v/>
      </c>
      <c r="H99" t="inlineStr"/>
      <c r="I99" t="inlineStr">
        <is>
          <t>A01</t>
        </is>
      </c>
      <c r="J99" s="3" t="n">
        <v>0.575</v>
      </c>
      <c r="K99" t="inlineStr">
        <is>
          <t>농업</t>
        </is>
      </c>
      <c r="L99" t="inlineStr"/>
      <c r="M99" t="inlineStr"/>
      <c r="N99" t="inlineStr"/>
    </row>
    <row r="100">
      <c r="A100" s="1" t="inlineStr">
        <is>
          <t>2021-05-24</t>
        </is>
      </c>
      <c r="B100" t="inlineStr">
        <is>
          <t>news</t>
        </is>
      </c>
      <c r="C100" t="inlineStr">
        <is>
          <t>economy</t>
        </is>
      </c>
      <c r="D100" t="inlineStr">
        <is>
          <t>데일리안</t>
        </is>
      </c>
      <c r="E100" t="inlineStr">
        <is>
          <t>조인영</t>
        </is>
      </c>
      <c r="F100" t="inlineStr">
        <is>
          <t>'구도일' 효과? 에쓰오일, GS·오일뱅크 누르고 내수 2위</t>
        </is>
      </c>
      <c r="G100" s="2">
        <f>HYPERLINK("https://www.dailian.co.kr/news/view/994057/", "Go to Website")</f>
        <v/>
      </c>
      <c r="H100" t="inlineStr"/>
      <c r="I100" t="inlineStr">
        <is>
          <t>100</t>
        </is>
      </c>
      <c r="J100" s="3" t="n">
        <v>1</v>
      </c>
      <c r="K100" t="inlineStr">
        <is>
          <t>분류 제외, 기타</t>
        </is>
      </c>
      <c r="L100" t="inlineStr">
        <is>
          <t>0</t>
        </is>
      </c>
      <c r="M100" s="3" t="n">
        <v>0.872</v>
      </c>
      <c r="N100" t="inlineStr">
        <is>
          <t>중립</t>
        </is>
      </c>
    </row>
    <row r="101">
      <c r="A101" s="1" t="inlineStr">
        <is>
          <t>2021-05-24</t>
        </is>
      </c>
      <c r="B101" t="inlineStr">
        <is>
          <t>news</t>
        </is>
      </c>
      <c r="C101" t="inlineStr">
        <is>
          <t>tech</t>
        </is>
      </c>
      <c r="D101" t="inlineStr">
        <is>
          <t>디지털타임스</t>
        </is>
      </c>
      <c r="E101" t="inlineStr">
        <is>
          <t>안경애</t>
        </is>
      </c>
      <c r="F101" t="inlineStr">
        <is>
          <t>데이터 경제 ‘2인 3각’ 돕는 ‘데이터 바우처’ 수요기업 2580곳 선정</t>
        </is>
      </c>
      <c r="G101" s="2">
        <f>HYPERLINK("http://www.dt.co.kr/contents.html?article_no=2021052402109931650005", "Go to Website")</f>
        <v/>
      </c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s="1" t="inlineStr">
        <is>
          <t>2021-05-24</t>
        </is>
      </c>
      <c r="B102" t="inlineStr">
        <is>
          <t>news</t>
        </is>
      </c>
      <c r="C102" t="inlineStr">
        <is>
          <t>economy</t>
        </is>
      </c>
      <c r="D102" t="inlineStr">
        <is>
          <t>서울경제</t>
        </is>
      </c>
      <c r="E102" t="inlineStr">
        <is>
          <t>양철민</t>
        </is>
      </c>
      <c r="F102" t="inlineStr">
        <is>
          <t>산업부, 주력산업 디지털전환 R&amp;D에 279억원 투입한다</t>
        </is>
      </c>
      <c r="G102" s="2">
        <f>HYPERLINK("https://www.sedaily.com/NewsView/22MHHVS9HZ", "Go to Website")</f>
        <v/>
      </c>
      <c r="H102" t="inlineStr"/>
      <c r="I102" t="inlineStr">
        <is>
          <t>100</t>
        </is>
      </c>
      <c r="J102" s="3" t="n">
        <v>0.641</v>
      </c>
      <c r="K102" t="inlineStr">
        <is>
          <t>분류 제외, 기타</t>
        </is>
      </c>
      <c r="L102" t="inlineStr"/>
      <c r="M102" t="inlineStr"/>
      <c r="N102" t="inlineStr"/>
    </row>
    <row r="103">
      <c r="A103" s="1" t="inlineStr">
        <is>
          <t>2021-05-24</t>
        </is>
      </c>
      <c r="B103" t="inlineStr">
        <is>
          <t>news</t>
        </is>
      </c>
      <c r="C103" t="inlineStr">
        <is>
          <t>economy</t>
        </is>
      </c>
      <c r="D103" t="inlineStr">
        <is>
          <t>이데일리</t>
        </is>
      </c>
      <c r="E103" t="inlineStr">
        <is>
          <t>김재은</t>
        </is>
      </c>
      <c r="F103" t="inlineStr">
        <is>
          <t>`車부품` 실력산업, K-OTC 신규 등록…26일 첫 거래</t>
        </is>
      </c>
      <c r="G103" s="2">
        <f>HYPERLINK("http://www.edaily.co.kr/news/newspath.asp?newsid=02400966629052200", "Go to Website")</f>
        <v/>
      </c>
      <c r="H103" t="inlineStr"/>
      <c r="I103" t="inlineStr">
        <is>
          <t>C33</t>
        </is>
      </c>
      <c r="J103" s="3" t="n">
        <v>0.554</v>
      </c>
      <c r="K103" t="inlineStr">
        <is>
          <t>기타 제품 제조업</t>
        </is>
      </c>
      <c r="L103" t="inlineStr"/>
      <c r="M103" t="inlineStr"/>
      <c r="N103" t="inlineStr"/>
    </row>
    <row r="104">
      <c r="A104" s="1" t="inlineStr">
        <is>
          <t>2021-05-24</t>
        </is>
      </c>
      <c r="B104" t="inlineStr">
        <is>
          <t>news</t>
        </is>
      </c>
      <c r="C104" t="inlineStr">
        <is>
          <t>economy</t>
        </is>
      </c>
      <c r="D104" t="inlineStr">
        <is>
          <t>이데일리</t>
        </is>
      </c>
      <c r="E104" t="inlineStr">
        <is>
          <t>황현규</t>
        </is>
      </c>
      <c r="F104" t="inlineStr">
        <is>
          <t>대우건설, 대구 ‘침산 푸르지오 에듀포레’ 내달 분양</t>
        </is>
      </c>
      <c r="G104" s="2">
        <f>HYPERLINK("http://www.edaily.co.kr/news/newspath.asp?newsid=02397686629052200", "Go to Website")</f>
        <v/>
      </c>
      <c r="H104" t="inlineStr"/>
      <c r="I104" t="inlineStr">
        <is>
          <t>F41</t>
        </is>
      </c>
      <c r="J104" s="3" t="n">
        <v>1</v>
      </c>
      <c r="K104" t="inlineStr">
        <is>
          <t>종합 건설업</t>
        </is>
      </c>
      <c r="L104" t="inlineStr">
        <is>
          <t>0</t>
        </is>
      </c>
      <c r="M104" s="3" t="n">
        <v>1</v>
      </c>
      <c r="N104" t="inlineStr">
        <is>
          <t>중립</t>
        </is>
      </c>
    </row>
    <row r="105">
      <c r="A105" s="1" t="inlineStr">
        <is>
          <t>2021-05-24</t>
        </is>
      </c>
      <c r="B105" t="inlineStr">
        <is>
          <t>news</t>
        </is>
      </c>
      <c r="C105" t="inlineStr">
        <is>
          <t>economy</t>
        </is>
      </c>
      <c r="D105" t="inlineStr">
        <is>
          <t>한국경제TV</t>
        </is>
      </c>
      <c r="E105" t="inlineStr">
        <is>
          <t>오민지</t>
        </is>
      </c>
      <c r="F105" t="inlineStr">
        <is>
          <t>K-OTC, '실력산업' 신규등록승인…26일부터 거래</t>
        </is>
      </c>
      <c r="G105" s="2">
        <f>HYPERLINK("http://www.wowtv.co.kr/NewsCenter/News/Read?articleId=A202105240196&amp;t=NN", "Go to Website")</f>
        <v/>
      </c>
      <c r="H105" t="inlineStr"/>
      <c r="I105" t="inlineStr">
        <is>
          <t>100</t>
        </is>
      </c>
      <c r="J105" s="3" t="n">
        <v>0.773</v>
      </c>
      <c r="K105" t="inlineStr">
        <is>
          <t>분류 제외, 기타</t>
        </is>
      </c>
      <c r="L105" t="inlineStr"/>
      <c r="M105" t="inlineStr"/>
      <c r="N105" t="inlineStr"/>
    </row>
    <row r="106">
      <c r="A106" s="1" t="inlineStr">
        <is>
          <t>2021-05-24</t>
        </is>
      </c>
      <c r="B106" t="inlineStr">
        <is>
          <t>news</t>
        </is>
      </c>
      <c r="C106" t="inlineStr">
        <is>
          <t>economy</t>
        </is>
      </c>
      <c r="D106" t="inlineStr">
        <is>
          <t>데일리안</t>
        </is>
      </c>
      <c r="E106" t="inlineStr">
        <is>
          <t>박영국</t>
        </is>
      </c>
      <c r="F106" t="inlineStr">
        <is>
          <t>노조에 발목 잡힌 車업계, '脫코로나 특수' 좌절되나</t>
        </is>
      </c>
      <c r="G106" s="2">
        <f>HYPERLINK("https://www.dailian.co.kr/news/view/994045/", "Go to Website")</f>
        <v/>
      </c>
      <c r="H106" t="inlineStr"/>
      <c r="I106" t="inlineStr">
        <is>
          <t>Q86</t>
        </is>
      </c>
      <c r="J106" s="3" t="n">
        <v>0.904</v>
      </c>
      <c r="K106" t="inlineStr">
        <is>
          <t>보건업</t>
        </is>
      </c>
      <c r="L106" t="inlineStr"/>
      <c r="M106" t="inlineStr"/>
      <c r="N106" t="inlineStr"/>
    </row>
    <row r="107">
      <c r="A107" s="1" t="inlineStr">
        <is>
          <t>2021-05-24</t>
        </is>
      </c>
      <c r="B107" t="inlineStr">
        <is>
          <t>news</t>
        </is>
      </c>
      <c r="C107" t="inlineStr">
        <is>
          <t>economy</t>
        </is>
      </c>
      <c r="D107" t="inlineStr">
        <is>
          <t>헤럴드경제</t>
        </is>
      </c>
      <c r="E107" t="inlineStr">
        <is>
          <t>이현정</t>
        </is>
      </c>
      <c r="F107" t="inlineStr">
        <is>
          <t>한국투자신탁운용, 주식형 액티브 ETF 2종 출시</t>
        </is>
      </c>
      <c r="G107" s="2">
        <f>HYPERLINK("http://news.heraldcorp.com/view.php?ud=20210524000645", "Go to Website")</f>
        <v/>
      </c>
      <c r="H107" t="inlineStr"/>
      <c r="I107" t="inlineStr">
        <is>
          <t>K64</t>
        </is>
      </c>
      <c r="J107" s="3" t="n">
        <v>1</v>
      </c>
      <c r="K107" t="inlineStr">
        <is>
          <t>금융업</t>
        </is>
      </c>
      <c r="L107" t="inlineStr"/>
      <c r="M107" t="inlineStr"/>
      <c r="N107" t="inlineStr"/>
    </row>
    <row r="108">
      <c r="A108" s="1" t="inlineStr">
        <is>
          <t>2021-05-24</t>
        </is>
      </c>
      <c r="B108" t="inlineStr">
        <is>
          <t>news</t>
        </is>
      </c>
      <c r="C108" t="inlineStr">
        <is>
          <t>economy</t>
        </is>
      </c>
      <c r="D108" t="inlineStr">
        <is>
          <t>헤럴드경제</t>
        </is>
      </c>
      <c r="E108" t="inlineStr">
        <is>
          <t>김현경</t>
        </is>
      </c>
      <c r="F108" t="inlineStr">
        <is>
          <t>韓美회담 효과...반도체·차·바이오 ‘꿈틀’</t>
        </is>
      </c>
      <c r="G108" s="2">
        <f>HYPERLINK("http://news.heraldcorp.com/view.php?ud=20210524000641", "Go to Website")</f>
        <v/>
      </c>
      <c r="H108" t="inlineStr"/>
      <c r="I108" t="inlineStr">
        <is>
          <t>C29</t>
        </is>
      </c>
      <c r="J108" s="3" t="n">
        <v>0.929</v>
      </c>
      <c r="K108" t="inlineStr">
        <is>
          <t>기타 기계 및 장비 제조업</t>
        </is>
      </c>
      <c r="L108" t="inlineStr"/>
      <c r="M108" t="inlineStr"/>
      <c r="N108" t="inlineStr"/>
    </row>
    <row r="109">
      <c r="A109" s="1" t="inlineStr">
        <is>
          <t>2021-05-24</t>
        </is>
      </c>
      <c r="B109" t="inlineStr">
        <is>
          <t>news</t>
        </is>
      </c>
      <c r="C109" t="inlineStr">
        <is>
          <t>economy</t>
        </is>
      </c>
      <c r="D109" t="inlineStr">
        <is>
          <t>동아일보</t>
        </is>
      </c>
      <c r="E109" t="inlineStr">
        <is>
          <t>정진수</t>
        </is>
      </c>
      <c r="F109" t="inlineStr">
        <is>
          <t>대우건설, 대구 ‘침산 푸르지오 에듀포레’ 분양 돌입</t>
        </is>
      </c>
      <c r="G109" s="2">
        <f>HYPERLINK("https://www.donga.com/news/article/all/20210524/107083041/2", "Go to Website")</f>
        <v/>
      </c>
      <c r="H109" t="inlineStr"/>
      <c r="I109" t="inlineStr">
        <is>
          <t>F41</t>
        </is>
      </c>
      <c r="J109" s="3" t="n">
        <v>1</v>
      </c>
      <c r="K109" t="inlineStr">
        <is>
          <t>종합 건설업</t>
        </is>
      </c>
      <c r="L109" t="inlineStr">
        <is>
          <t>0</t>
        </is>
      </c>
      <c r="M109" s="3" t="n">
        <v>0.999</v>
      </c>
      <c r="N109" t="inlineStr">
        <is>
          <t>중립</t>
        </is>
      </c>
    </row>
    <row r="110">
      <c r="A110" s="1" t="inlineStr">
        <is>
          <t>2021-05-24</t>
        </is>
      </c>
      <c r="B110" t="inlineStr">
        <is>
          <t>news</t>
        </is>
      </c>
      <c r="C110" t="inlineStr">
        <is>
          <t>economy</t>
        </is>
      </c>
      <c r="D110" t="inlineStr">
        <is>
          <t>헤럴드경제</t>
        </is>
      </c>
      <c r="E110" t="inlineStr">
        <is>
          <t>김현일</t>
        </is>
      </c>
      <c r="F110" t="inlineStr">
        <is>
          <t>‘한국 세일즈’ 종횡무진 최태원…한·미 경제외교 협력 빛났다 [피플앤데이터]</t>
        </is>
      </c>
      <c r="G110" s="2">
        <f>HYPERLINK("http://news.heraldcorp.com/view.php?ud=20210524000620", "Go to Website")</f>
        <v/>
      </c>
      <c r="H110" t="inlineStr"/>
      <c r="I110" t="inlineStr">
        <is>
          <t>100</t>
        </is>
      </c>
      <c r="J110" s="3" t="n">
        <v>1</v>
      </c>
      <c r="K110" t="inlineStr">
        <is>
          <t>분류 제외, 기타</t>
        </is>
      </c>
      <c r="L110" t="inlineStr"/>
      <c r="M110" t="inlineStr"/>
      <c r="N110" t="inlineStr"/>
    </row>
    <row r="111">
      <c r="A111" s="1" t="inlineStr">
        <is>
          <t>2021-05-24</t>
        </is>
      </c>
      <c r="B111" t="inlineStr">
        <is>
          <t>news</t>
        </is>
      </c>
      <c r="C111" t="inlineStr">
        <is>
          <t>tech</t>
        </is>
      </c>
      <c r="D111" t="inlineStr">
        <is>
          <t>이데일리</t>
        </is>
      </c>
      <c r="E111" t="inlineStr">
        <is>
          <t>이후섭</t>
        </is>
      </c>
      <c r="F111" t="inlineStr">
        <is>
          <t>올해 `데이터 바우처`에 1230억원 투입…2580개 기업 지원</t>
        </is>
      </c>
      <c r="G111" s="2">
        <f>HYPERLINK("http://www.edaily.co.kr/news/newspath.asp?newsid=02266486629052200", "Go to Website")</f>
        <v/>
      </c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A112" s="1" t="inlineStr">
        <is>
          <t>2021-05-24</t>
        </is>
      </c>
      <c r="B112" t="inlineStr">
        <is>
          <t>news</t>
        </is>
      </c>
      <c r="C112" t="inlineStr">
        <is>
          <t>tech</t>
        </is>
      </c>
      <c r="D112" t="inlineStr">
        <is>
          <t>ZDNet Korea</t>
        </is>
      </c>
      <c r="E112" t="inlineStr">
        <is>
          <t>박수형</t>
        </is>
      </c>
      <c r="F112" t="inlineStr">
        <is>
          <t>정부, 데이터바우처 지원 수요기업 2580개 선정</t>
        </is>
      </c>
      <c r="G112" s="2">
        <f>HYPERLINK("https://zdnet.co.kr/view/?no=20210524114728", "Go to Website")</f>
        <v/>
      </c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A113" s="1" t="inlineStr">
        <is>
          <t>2021-05-24</t>
        </is>
      </c>
      <c r="B113" t="inlineStr">
        <is>
          <t>news</t>
        </is>
      </c>
      <c r="C113" t="inlineStr">
        <is>
          <t>tech</t>
        </is>
      </c>
      <c r="D113" t="inlineStr">
        <is>
          <t>아이뉴스24</t>
        </is>
      </c>
      <c r="E113" t="inlineStr">
        <is>
          <t>심지혜</t>
        </is>
      </c>
      <c r="F113" t="inlineStr">
        <is>
          <t>과기정통부, 데이터 바우처 2천580개 수요기업에 1천230억 투입</t>
        </is>
      </c>
      <c r="G113" s="2">
        <f>HYPERLINK("http://www.inews24.com/view/1369403", "Go to Website")</f>
        <v/>
      </c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A114" s="1" t="inlineStr">
        <is>
          <t>2021-05-24</t>
        </is>
      </c>
      <c r="B114" t="inlineStr">
        <is>
          <t>news</t>
        </is>
      </c>
      <c r="C114" t="inlineStr">
        <is>
          <t>tech</t>
        </is>
      </c>
      <c r="D114" t="inlineStr">
        <is>
          <t>파이낸셜뉴스</t>
        </is>
      </c>
      <c r="E114" t="inlineStr">
        <is>
          <t>서영준</t>
        </is>
      </c>
      <c r="F114" t="inlineStr">
        <is>
          <t>과기정통부, 데이터 바우처 2580개 수요기업 선정</t>
        </is>
      </c>
      <c r="G114" s="2">
        <f>HYPERLINK("http://www.fnnews.com/news/202105241048280721", "Go to Website")</f>
        <v/>
      </c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A115" s="1" t="inlineStr">
        <is>
          <t>2021-05-24</t>
        </is>
      </c>
      <c r="B115" t="inlineStr">
        <is>
          <t>news</t>
        </is>
      </c>
      <c r="C115" t="inlineStr">
        <is>
          <t>tech</t>
        </is>
      </c>
      <c r="D115" t="inlineStr">
        <is>
          <t>아시아경제</t>
        </is>
      </c>
      <c r="E115" t="inlineStr">
        <is>
          <t>구은모</t>
        </is>
      </c>
      <c r="F115" t="inlineStr">
        <is>
          <t>데이터바우처 2580개 수요 기업 선정…올해 1230억 투입</t>
        </is>
      </c>
      <c r="G115" s="2">
        <f>HYPERLINK("https://view.asiae.co.kr/article/2021052410082484748", "Go to Website")</f>
        <v/>
      </c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A116" s="1" t="inlineStr">
        <is>
          <t>2021-05-24</t>
        </is>
      </c>
      <c r="B116" t="inlineStr">
        <is>
          <t>news</t>
        </is>
      </c>
      <c r="C116" t="inlineStr">
        <is>
          <t>tech</t>
        </is>
      </c>
      <c r="D116" t="inlineStr">
        <is>
          <t>연합뉴스</t>
        </is>
      </c>
      <c r="E116" t="inlineStr">
        <is>
          <t>정윤주</t>
        </is>
      </c>
      <c r="F116" t="inlineStr">
        <is>
          <t>올해 2천580개 기업·기관에 데이터 바우처 지원</t>
        </is>
      </c>
      <c r="G116" s="2">
        <f>HYPERLINK("http://yna.kr/AKR20210524039700017?did=1195m", "Go to Website")</f>
        <v/>
      </c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A117" s="1" t="inlineStr">
        <is>
          <t>2021-05-24</t>
        </is>
      </c>
      <c r="B117" t="inlineStr">
        <is>
          <t>news</t>
        </is>
      </c>
      <c r="C117" t="inlineStr">
        <is>
          <t>economy</t>
        </is>
      </c>
      <c r="D117" t="inlineStr">
        <is>
          <t>아이뉴스24</t>
        </is>
      </c>
      <c r="E117" t="inlineStr">
        <is>
          <t>이효정</t>
        </is>
      </c>
      <c r="F117" t="inlineStr">
        <is>
          <t>KB금융, 리브챔피언십’ 27일 개막…KPGA 대표 선수 총출동</t>
        </is>
      </c>
      <c r="G117" s="2">
        <f>HYPERLINK("http://www.inews24.com/view/1369504", "Go to Website")</f>
        <v/>
      </c>
      <c r="H117" t="inlineStr"/>
      <c r="I117" t="inlineStr">
        <is>
          <t>K64</t>
        </is>
      </c>
      <c r="J117" s="3" t="n">
        <v>0.999</v>
      </c>
      <c r="K117" t="inlineStr">
        <is>
          <t>금융업</t>
        </is>
      </c>
      <c r="L117" t="inlineStr">
        <is>
          <t>0</t>
        </is>
      </c>
      <c r="M117" s="3" t="n">
        <v>0.993</v>
      </c>
      <c r="N117" t="inlineStr">
        <is>
          <t>중립</t>
        </is>
      </c>
    </row>
    <row r="118">
      <c r="A118" s="1" t="inlineStr">
        <is>
          <t>2021-05-24</t>
        </is>
      </c>
      <c r="B118" t="inlineStr">
        <is>
          <t>news</t>
        </is>
      </c>
      <c r="C118" t="inlineStr">
        <is>
          <t>economy</t>
        </is>
      </c>
      <c r="D118" t="inlineStr">
        <is>
          <t>아시아경제</t>
        </is>
      </c>
      <c r="E118" t="inlineStr">
        <is>
          <t>우수연</t>
        </is>
      </c>
      <c r="F118" t="inlineStr">
        <is>
          <t>'동맹 회복' 다리 놓은 재계…이제는 정부가 화답할 때</t>
        </is>
      </c>
      <c r="G118" s="2">
        <f>HYPERLINK("https://view.asiae.co.kr/article/2021052410310762329", "Go to Website")</f>
        <v/>
      </c>
      <c r="H118" t="inlineStr"/>
      <c r="I118" t="inlineStr">
        <is>
          <t>C26</t>
        </is>
      </c>
      <c r="J118" s="3" t="n">
        <v>0.596</v>
      </c>
      <c r="K118" t="inlineStr">
        <is>
          <t>전자 부품, 컴퓨터, 영상, 음향 및 통신장비 제조업</t>
        </is>
      </c>
      <c r="L118" t="inlineStr"/>
      <c r="M118" t="inlineStr"/>
      <c r="N118" t="inlineStr"/>
    </row>
    <row r="119">
      <c r="A119" s="1" t="inlineStr">
        <is>
          <t>2021-05-24</t>
        </is>
      </c>
      <c r="B119" t="inlineStr">
        <is>
          <t>news</t>
        </is>
      </c>
      <c r="C119" t="inlineStr">
        <is>
          <t>economy</t>
        </is>
      </c>
      <c r="D119" t="inlineStr">
        <is>
          <t>문화일보</t>
        </is>
      </c>
      <c r="E119" t="inlineStr">
        <is>
          <t>장병철</t>
        </is>
      </c>
      <c r="F119" t="inlineStr">
        <is>
          <t>첨단기술 다져온 기업·기업인들…‘한미 경제동맹’ 일등공신</t>
        </is>
      </c>
      <c r="G119" s="2">
        <f>HYPERLINK("http://www.munhwa.com/news/view.html?no=2021052401070403024001", "Go to Website")</f>
        <v/>
      </c>
      <c r="H119" t="inlineStr"/>
      <c r="I119" t="inlineStr">
        <is>
          <t>K64</t>
        </is>
      </c>
      <c r="J119" s="3" t="n">
        <v>0.806</v>
      </c>
      <c r="K119" t="inlineStr">
        <is>
          <t>금융업</t>
        </is>
      </c>
      <c r="L119" t="inlineStr"/>
      <c r="M119" t="inlineStr"/>
      <c r="N119" t="inlineStr"/>
    </row>
    <row r="120">
      <c r="A120" s="1" t="inlineStr">
        <is>
          <t>2021-05-24</t>
        </is>
      </c>
      <c r="B120" t="inlineStr">
        <is>
          <t>news</t>
        </is>
      </c>
      <c r="C120" t="inlineStr">
        <is>
          <t>economy</t>
        </is>
      </c>
      <c r="D120" t="inlineStr">
        <is>
          <t>뉴스1</t>
        </is>
      </c>
      <c r="E120" t="inlineStr">
        <is>
          <t>문창석</t>
        </is>
      </c>
      <c r="F120" t="inlineStr">
        <is>
          <t>'ESG 경영' 박차를 가하는 LG에너지솔루션…"지속가능경영 실천"</t>
        </is>
      </c>
      <c r="G120" s="2">
        <f>HYPERLINK("https://www.news1.kr/articles/?4315627", "Go to Website")</f>
        <v/>
      </c>
      <c r="H120" t="inlineStr"/>
      <c r="I120" t="inlineStr">
        <is>
          <t>C31</t>
        </is>
      </c>
      <c r="J120" s="3" t="n">
        <v>0.65</v>
      </c>
      <c r="K120" t="inlineStr">
        <is>
          <t>기타 운송장비 제조업</t>
        </is>
      </c>
      <c r="L120" t="inlineStr"/>
      <c r="M120" t="inlineStr"/>
      <c r="N120" t="inlineStr"/>
    </row>
    <row r="121">
      <c r="A121" s="1" t="inlineStr">
        <is>
          <t>2021-05-24</t>
        </is>
      </c>
      <c r="B121" t="inlineStr">
        <is>
          <t>news</t>
        </is>
      </c>
      <c r="C121" t="inlineStr">
        <is>
          <t>economy</t>
        </is>
      </c>
      <c r="D121" t="inlineStr">
        <is>
          <t>조세일보</t>
        </is>
      </c>
      <c r="E121" t="inlineStr"/>
      <c r="F121" t="inlineStr">
        <is>
          <t>대우건설, 대구 '침산 푸르지오 에듀포레' 내달 분양예정</t>
        </is>
      </c>
      <c r="G121" s="2">
        <f>HYPERLINK("http://www.joseilbo.com/news/news_read.php?uid=424294&amp;class=16", "Go to Website")</f>
        <v/>
      </c>
      <c r="H121" t="inlineStr"/>
      <c r="I121" t="inlineStr">
        <is>
          <t>F41</t>
        </is>
      </c>
      <c r="J121" s="3" t="n">
        <v>1</v>
      </c>
      <c r="K121" t="inlineStr">
        <is>
          <t>종합 건설업</t>
        </is>
      </c>
      <c r="L121" t="inlineStr">
        <is>
          <t>0</t>
        </is>
      </c>
      <c r="M121" s="3" t="n">
        <v>1</v>
      </c>
      <c r="N121" t="inlineStr">
        <is>
          <t>중립</t>
        </is>
      </c>
    </row>
    <row r="122">
      <c r="A122" s="1" t="inlineStr">
        <is>
          <t>2021-05-24</t>
        </is>
      </c>
      <c r="B122" t="inlineStr">
        <is>
          <t>news</t>
        </is>
      </c>
      <c r="C122" t="inlineStr">
        <is>
          <t>economy</t>
        </is>
      </c>
      <c r="D122" t="inlineStr">
        <is>
          <t>SBS Biz</t>
        </is>
      </c>
      <c r="E122" t="inlineStr">
        <is>
          <t>권세욱</t>
        </is>
      </c>
      <c r="F122" t="inlineStr">
        <is>
          <t>韓·美 ‘경제동맹’ 강화…4대 그룹 44조 투자 보따리 풀었다</t>
        </is>
      </c>
      <c r="G122" s="2">
        <f>HYPERLINK("https://biz.sbs.co.kr/article_hub/20000016514", "Go to Website")</f>
        <v/>
      </c>
      <c r="H122" t="inlineStr"/>
      <c r="I122" t="inlineStr">
        <is>
          <t>C20</t>
        </is>
      </c>
      <c r="J122" s="3" t="n">
        <v>0.843</v>
      </c>
      <c r="K122" t="inlineStr">
        <is>
          <t>화학 물질 및 화학제품 제조업; 의약품 제외</t>
        </is>
      </c>
      <c r="L122" t="inlineStr"/>
      <c r="M122" t="inlineStr"/>
      <c r="N122" t="inlineStr"/>
    </row>
    <row r="123">
      <c r="A123" s="1" t="inlineStr">
        <is>
          <t>2021-05-24</t>
        </is>
      </c>
      <c r="B123" t="inlineStr">
        <is>
          <t>news</t>
        </is>
      </c>
      <c r="C123" t="inlineStr">
        <is>
          <t>economy</t>
        </is>
      </c>
      <c r="D123" t="inlineStr">
        <is>
          <t>헤럴드경제</t>
        </is>
      </c>
      <c r="E123" t="inlineStr">
        <is>
          <t>이현정</t>
        </is>
      </c>
      <c r="F123" t="inlineStr">
        <is>
          <t>한국투자신탁운용, 주식형 액티브 ETF 2종 출시</t>
        </is>
      </c>
      <c r="G123" s="2">
        <f>HYPERLINK("http://news.heraldcorp.com/view.php?ud=20210524000553", "Go to Website")</f>
        <v/>
      </c>
      <c r="H123" t="inlineStr"/>
      <c r="I123" t="inlineStr">
        <is>
          <t>K64</t>
        </is>
      </c>
      <c r="J123" s="3" t="n">
        <v>1</v>
      </c>
      <c r="K123" t="inlineStr">
        <is>
          <t>금융업</t>
        </is>
      </c>
      <c r="L123" t="inlineStr"/>
      <c r="M123" t="inlineStr"/>
      <c r="N123" t="inlineStr"/>
    </row>
    <row r="124">
      <c r="A124" s="1" t="inlineStr">
        <is>
          <t>2021-05-24</t>
        </is>
      </c>
      <c r="B124" t="inlineStr">
        <is>
          <t>news</t>
        </is>
      </c>
      <c r="C124" t="inlineStr">
        <is>
          <t>economy</t>
        </is>
      </c>
      <c r="D124" t="inlineStr">
        <is>
          <t>아이뉴스24</t>
        </is>
      </c>
      <c r="E124" t="inlineStr">
        <is>
          <t>한수연</t>
        </is>
      </c>
      <c r="F124" t="inlineStr">
        <is>
          <t>엠플러스, 58억 규모 각형 조립공정 장비 수주</t>
        </is>
      </c>
      <c r="G124" s="2">
        <f>HYPERLINK("http://www.inews24.com/view/1369494", "Go to Website")</f>
        <v/>
      </c>
      <c r="H124" t="inlineStr"/>
      <c r="I124" t="inlineStr">
        <is>
          <t>C27</t>
        </is>
      </c>
      <c r="J124" s="3" t="n">
        <v>0.973</v>
      </c>
      <c r="K124" t="inlineStr">
        <is>
          <t>의료, 정밀, 광학 기기 및 시계 제조업</t>
        </is>
      </c>
      <c r="L124" t="inlineStr">
        <is>
          <t>1</t>
        </is>
      </c>
      <c r="M124" s="3" t="n">
        <v>1</v>
      </c>
      <c r="N124" t="inlineStr">
        <is>
          <t>긍정</t>
        </is>
      </c>
    </row>
    <row r="125">
      <c r="A125" s="1" t="inlineStr">
        <is>
          <t>2021-05-24</t>
        </is>
      </c>
      <c r="B125" t="inlineStr">
        <is>
          <t>news</t>
        </is>
      </c>
      <c r="C125" t="inlineStr">
        <is>
          <t>economy</t>
        </is>
      </c>
      <c r="D125" t="inlineStr">
        <is>
          <t>데일리안</t>
        </is>
      </c>
      <c r="E125" t="inlineStr">
        <is>
          <t>장정욱</t>
        </is>
      </c>
      <c r="F125" t="inlineStr">
        <is>
          <t>산업부, 주력산업 디지털 전환 위한 ‘6대 선도 연구개발’ 착수</t>
        </is>
      </c>
      <c r="G125" s="2">
        <f>HYPERLINK("https://www.dailian.co.kr/news/view/994027/", "Go to Website")</f>
        <v/>
      </c>
      <c r="H125" t="inlineStr"/>
      <c r="I125" t="inlineStr">
        <is>
          <t>100</t>
        </is>
      </c>
      <c r="J125" s="3" t="n">
        <v>0.573</v>
      </c>
      <c r="K125" t="inlineStr">
        <is>
          <t>분류 제외, 기타</t>
        </is>
      </c>
      <c r="L125" t="inlineStr"/>
      <c r="M125" t="inlineStr"/>
      <c r="N125" t="inlineStr"/>
    </row>
    <row r="126">
      <c r="A126" s="1" t="inlineStr">
        <is>
          <t>2021-05-24</t>
        </is>
      </c>
      <c r="B126" t="inlineStr">
        <is>
          <t>news</t>
        </is>
      </c>
      <c r="C126" t="inlineStr">
        <is>
          <t>economy</t>
        </is>
      </c>
      <c r="D126" t="inlineStr">
        <is>
          <t>아이뉴스24</t>
        </is>
      </c>
      <c r="E126" t="inlineStr">
        <is>
          <t>한수연</t>
        </is>
      </c>
      <c r="F126" t="inlineStr">
        <is>
          <t>한투운용, 액티브 ETF 2종 상장…"친환경 분야서 승부수"</t>
        </is>
      </c>
      <c r="G126" s="2">
        <f>HYPERLINK("http://www.inews24.com/view/1369466", "Go to Website")</f>
        <v/>
      </c>
      <c r="H126" t="inlineStr"/>
      <c r="I126" t="inlineStr">
        <is>
          <t>K64</t>
        </is>
      </c>
      <c r="J126" s="3" t="n">
        <v>1</v>
      </c>
      <c r="K126" t="inlineStr">
        <is>
          <t>금융업</t>
        </is>
      </c>
      <c r="L126" t="inlineStr"/>
      <c r="M126" t="inlineStr"/>
      <c r="N126" t="inlineStr"/>
    </row>
    <row r="127">
      <c r="A127" s="1" t="inlineStr">
        <is>
          <t>2021-05-24</t>
        </is>
      </c>
      <c r="B127" t="inlineStr">
        <is>
          <t>news</t>
        </is>
      </c>
      <c r="C127" t="inlineStr">
        <is>
          <t>economy</t>
        </is>
      </c>
      <c r="D127" t="inlineStr">
        <is>
          <t>아시아경제</t>
        </is>
      </c>
      <c r="E127" t="inlineStr">
        <is>
          <t>최대열</t>
        </is>
      </c>
      <c r="F127" t="inlineStr">
        <is>
          <t>美 배터리 생태계, 한국이 이끈다</t>
        </is>
      </c>
      <c r="G127" s="2">
        <f>HYPERLINK("https://view.asiae.co.kr/article/2021052411171591967", "Go to Website")</f>
        <v/>
      </c>
      <c r="H127" t="inlineStr"/>
      <c r="I127" t="inlineStr">
        <is>
          <t>K64</t>
        </is>
      </c>
      <c r="J127" s="3" t="n">
        <v>0.981</v>
      </c>
      <c r="K127" t="inlineStr">
        <is>
          <t>금융업</t>
        </is>
      </c>
      <c r="L127" t="inlineStr"/>
      <c r="M127" t="inlineStr"/>
      <c r="N127" t="inlineStr"/>
    </row>
    <row r="128">
      <c r="A128" s="1" t="inlineStr">
        <is>
          <t>2021-05-24</t>
        </is>
      </c>
      <c r="B128" t="inlineStr">
        <is>
          <t>news</t>
        </is>
      </c>
      <c r="C128" t="inlineStr">
        <is>
          <t>economy</t>
        </is>
      </c>
      <c r="D128" t="inlineStr">
        <is>
          <t>아시아경제</t>
        </is>
      </c>
      <c r="E128" t="inlineStr">
        <is>
          <t>유제훈</t>
        </is>
      </c>
      <c r="F128" t="inlineStr">
        <is>
          <t>효자된 기아 니로EV, 국내·외서 질주</t>
        </is>
      </c>
      <c r="G128" s="2">
        <f>HYPERLINK("https://view.asiae.co.kr/article/2021052110244519198", "Go to Website")</f>
        <v/>
      </c>
      <c r="H128" t="inlineStr"/>
      <c r="I128" t="inlineStr">
        <is>
          <t>C30</t>
        </is>
      </c>
      <c r="J128" s="3" t="n">
        <v>0.999</v>
      </c>
      <c r="K128" t="inlineStr">
        <is>
          <t>자동차 및 트레일러 제조업</t>
        </is>
      </c>
      <c r="L128" t="inlineStr">
        <is>
          <t>1</t>
        </is>
      </c>
      <c r="M128" s="3" t="n">
        <v>0.972</v>
      </c>
      <c r="N128" t="inlineStr">
        <is>
          <t>긍정</t>
        </is>
      </c>
    </row>
    <row r="129">
      <c r="A129" s="1" t="inlineStr">
        <is>
          <t>2021-05-24</t>
        </is>
      </c>
      <c r="B129" t="inlineStr">
        <is>
          <t>news</t>
        </is>
      </c>
      <c r="C129" t="inlineStr">
        <is>
          <t>economy</t>
        </is>
      </c>
      <c r="D129" t="inlineStr">
        <is>
          <t>비즈니스워치</t>
        </is>
      </c>
      <c r="E129" t="inlineStr"/>
      <c r="F129" t="inlineStr">
        <is>
          <t>ESG로 승부수 띄운다…한투운용, 액티브 ETF 2종 상장</t>
        </is>
      </c>
      <c r="G129" s="2">
        <f>HYPERLINK("http://news.bizwatch.co.kr/article/market/2021/05/24/0013", "Go to Website")</f>
        <v/>
      </c>
      <c r="H129" t="inlineStr"/>
      <c r="I129" t="inlineStr">
        <is>
          <t>K64</t>
        </is>
      </c>
      <c r="J129" s="3" t="n">
        <v>0.999</v>
      </c>
      <c r="K129" t="inlineStr">
        <is>
          <t>금융업</t>
        </is>
      </c>
      <c r="L129" t="inlineStr"/>
      <c r="M129" t="inlineStr"/>
      <c r="N129" t="inlineStr"/>
    </row>
    <row r="130">
      <c r="A130" s="1" t="inlineStr">
        <is>
          <t>2021-05-24</t>
        </is>
      </c>
      <c r="B130" t="inlineStr">
        <is>
          <t>news</t>
        </is>
      </c>
      <c r="C130" t="inlineStr">
        <is>
          <t>economy</t>
        </is>
      </c>
      <c r="D130" t="inlineStr">
        <is>
          <t>뉴시스</t>
        </is>
      </c>
      <c r="E130" t="inlineStr">
        <is>
          <t>이예슬</t>
        </is>
      </c>
      <c r="F130" t="inlineStr">
        <is>
          <t>대우건설, 대구 '침산 푸르지오 에듀포레' 6월 분양</t>
        </is>
      </c>
      <c r="G130" s="2">
        <f>HYPERLINK("http://www.newsis.com/view/?id=NISX20210524_0001450745&amp;cID=10401&amp;pID=10400", "Go to Website")</f>
        <v/>
      </c>
      <c r="H130" t="inlineStr"/>
      <c r="I130" t="inlineStr">
        <is>
          <t>F41</t>
        </is>
      </c>
      <c r="J130" s="3" t="n">
        <v>1</v>
      </c>
      <c r="K130" t="inlineStr">
        <is>
          <t>종합 건설업</t>
        </is>
      </c>
      <c r="L130" t="inlineStr">
        <is>
          <t>0</t>
        </is>
      </c>
      <c r="M130" s="3" t="n">
        <v>1</v>
      </c>
      <c r="N130" t="inlineStr">
        <is>
          <t>중립</t>
        </is>
      </c>
    </row>
    <row r="131">
      <c r="A131" s="1" t="inlineStr">
        <is>
          <t>2021-05-24</t>
        </is>
      </c>
      <c r="B131" t="inlineStr">
        <is>
          <t>news</t>
        </is>
      </c>
      <c r="C131" t="inlineStr">
        <is>
          <t>economy</t>
        </is>
      </c>
      <c r="D131" t="inlineStr">
        <is>
          <t>서울경제</t>
        </is>
      </c>
      <c r="E131" t="inlineStr">
        <is>
          <t>이혜진</t>
        </is>
      </c>
      <c r="F131" t="inlineStr">
        <is>
          <t>'자동차 부품사' 실력산업, K-OTC 신규 등록</t>
        </is>
      </c>
      <c r="G131" s="2">
        <f>HYPERLINK("https://www.sedaily.com/NewsView/22MHGROW47", "Go to Website")</f>
        <v/>
      </c>
      <c r="H131" t="inlineStr"/>
      <c r="I131" t="inlineStr">
        <is>
          <t>C27</t>
        </is>
      </c>
      <c r="J131" s="3" t="n">
        <v>0.594</v>
      </c>
      <c r="K131" t="inlineStr">
        <is>
          <t>의료, 정밀, 광학 기기 및 시계 제조업</t>
        </is>
      </c>
      <c r="L131" t="inlineStr"/>
      <c r="M131" t="inlineStr"/>
      <c r="N131" t="inlineStr"/>
    </row>
    <row r="132">
      <c r="A132" s="1" t="inlineStr">
        <is>
          <t>2021-05-24</t>
        </is>
      </c>
      <c r="B132" t="inlineStr">
        <is>
          <t>news</t>
        </is>
      </c>
      <c r="C132" t="inlineStr">
        <is>
          <t>economy</t>
        </is>
      </c>
      <c r="D132" t="inlineStr">
        <is>
          <t>이데일리</t>
        </is>
      </c>
      <c r="E132" t="inlineStr">
        <is>
          <t>문승관</t>
        </is>
      </c>
      <c r="F132" t="inlineStr">
        <is>
          <t>정부, 조선·미래차·철강 등 6개 분야 3년간 279억 투입</t>
        </is>
      </c>
      <c r="G132" s="2">
        <f>HYPERLINK("http://www.edaily.co.kr/news/newspath.asp?newsid=02069686629052200", "Go to Website")</f>
        <v/>
      </c>
      <c r="H132" t="inlineStr"/>
      <c r="I132" t="inlineStr">
        <is>
          <t>K64</t>
        </is>
      </c>
      <c r="J132" s="3" t="n">
        <v>0.899</v>
      </c>
      <c r="K132" t="inlineStr">
        <is>
          <t>금융업</t>
        </is>
      </c>
      <c r="L132" t="inlineStr"/>
      <c r="M132" t="inlineStr"/>
      <c r="N132" t="inlineStr"/>
    </row>
    <row r="133">
      <c r="A133" s="1" t="inlineStr">
        <is>
          <t>2021-05-24</t>
        </is>
      </c>
      <c r="B133" t="inlineStr">
        <is>
          <t>news</t>
        </is>
      </c>
      <c r="C133" t="inlineStr">
        <is>
          <t>economy</t>
        </is>
      </c>
      <c r="D133" t="inlineStr">
        <is>
          <t>아이뉴스24</t>
        </is>
      </c>
      <c r="E133" t="inlineStr">
        <is>
          <t>정종오</t>
        </is>
      </c>
      <c r="F133" t="inlineStr">
        <is>
          <t>조선·미래차 등 6대 분야 디지털 전환 R&amp;D에 279억 투입</t>
        </is>
      </c>
      <c r="G133" s="2">
        <f>HYPERLINK("http://www.inews24.com/view/1369364", "Go to Website")</f>
        <v/>
      </c>
      <c r="H133" t="inlineStr"/>
      <c r="I133" t="inlineStr">
        <is>
          <t>J58</t>
        </is>
      </c>
      <c r="J133" s="3" t="n">
        <v>0.364</v>
      </c>
      <c r="K133" t="inlineStr">
        <is>
          <t>출판업</t>
        </is>
      </c>
      <c r="L133" t="inlineStr"/>
      <c r="M133" t="inlineStr"/>
      <c r="N133" t="inlineStr"/>
    </row>
    <row r="134">
      <c r="A134" s="1" t="inlineStr">
        <is>
          <t>2021-05-24</t>
        </is>
      </c>
      <c r="B134" t="inlineStr">
        <is>
          <t>news</t>
        </is>
      </c>
      <c r="C134" t="inlineStr">
        <is>
          <t>economy</t>
        </is>
      </c>
      <c r="D134" t="inlineStr">
        <is>
          <t>파이낸셜뉴스</t>
        </is>
      </c>
      <c r="E134" t="inlineStr">
        <is>
          <t>임광복</t>
        </is>
      </c>
      <c r="F134" t="inlineStr">
        <is>
          <t>조선·미래차 등 6개 주력사업 디지털전환 279억 투입</t>
        </is>
      </c>
      <c r="G134" s="2">
        <f>HYPERLINK("http://www.fnnews.com/news/202105240919212336", "Go to Website")</f>
        <v/>
      </c>
      <c r="H134" t="inlineStr"/>
      <c r="I134" t="inlineStr">
        <is>
          <t>J58</t>
        </is>
      </c>
      <c r="J134" s="3" t="n">
        <v>0.626</v>
      </c>
      <c r="K134" t="inlineStr">
        <is>
          <t>출판업</t>
        </is>
      </c>
      <c r="L134" t="inlineStr"/>
      <c r="M134" t="inlineStr"/>
      <c r="N134" t="inlineStr"/>
    </row>
    <row r="135">
      <c r="A135" s="1" t="inlineStr">
        <is>
          <t>2021-05-24</t>
        </is>
      </c>
      <c r="B135" t="inlineStr">
        <is>
          <t>news</t>
        </is>
      </c>
      <c r="C135" t="inlineStr">
        <is>
          <t>economy</t>
        </is>
      </c>
      <c r="D135" t="inlineStr">
        <is>
          <t>뉴시스</t>
        </is>
      </c>
      <c r="E135" t="inlineStr">
        <is>
          <t>고은결</t>
        </is>
      </c>
      <c r="F135" t="inlineStr">
        <is>
          <t>정부, 산업 디지털전환 R&amp;D 추진…6개 분야에 279억 투입</t>
        </is>
      </c>
      <c r="G135" s="2">
        <f>HYPERLINK("http://www.newsis.com/view/?id=NISX20210524_0001450630&amp;cID=10401&amp;pID=10400", "Go to Website")</f>
        <v/>
      </c>
      <c r="H135" t="inlineStr"/>
      <c r="I135" t="inlineStr">
        <is>
          <t>M71</t>
        </is>
      </c>
      <c r="J135" s="3" t="n">
        <v>0.378</v>
      </c>
      <c r="K135" t="inlineStr">
        <is>
          <t>전문 서비스업</t>
        </is>
      </c>
      <c r="L135" t="inlineStr"/>
      <c r="M135" t="inlineStr"/>
      <c r="N135" t="inlineStr"/>
    </row>
    <row r="136">
      <c r="A136" s="1" t="inlineStr">
        <is>
          <t>2021-05-24</t>
        </is>
      </c>
      <c r="B136" t="inlineStr">
        <is>
          <t>news</t>
        </is>
      </c>
      <c r="C136" t="inlineStr">
        <is>
          <t>economy</t>
        </is>
      </c>
      <c r="D136" t="inlineStr">
        <is>
          <t>뉴스1</t>
        </is>
      </c>
      <c r="E136" t="inlineStr">
        <is>
          <t>나혜윤</t>
        </is>
      </c>
      <c r="F136" t="inlineStr">
        <is>
          <t>산업부, 산업 디지털전환 6대 선도 R&amp;D사업 착수…279억원 투입</t>
        </is>
      </c>
      <c r="G136" s="2">
        <f>HYPERLINK("https://www.news1.kr/articles/?4315146", "Go to Website")</f>
        <v/>
      </c>
      <c r="H136" t="inlineStr"/>
      <c r="I136" t="inlineStr">
        <is>
          <t>K64</t>
        </is>
      </c>
      <c r="J136" s="3" t="n">
        <v>0.99</v>
      </c>
      <c r="K136" t="inlineStr">
        <is>
          <t>금융업</t>
        </is>
      </c>
      <c r="L136" t="inlineStr"/>
      <c r="M136" t="inlineStr"/>
      <c r="N136" t="inlineStr"/>
    </row>
    <row r="137">
      <c r="A137" s="1" t="inlineStr">
        <is>
          <t>2021-05-24</t>
        </is>
      </c>
      <c r="B137" t="inlineStr">
        <is>
          <t>news</t>
        </is>
      </c>
      <c r="C137" t="inlineStr">
        <is>
          <t>economy</t>
        </is>
      </c>
      <c r="D137" t="inlineStr">
        <is>
          <t>연합뉴스</t>
        </is>
      </c>
      <c r="E137" t="inlineStr">
        <is>
          <t>윤보람</t>
        </is>
      </c>
      <c r="F137" t="inlineStr">
        <is>
          <t>조선·미래차 등 주력산업 디지털전환 R&amp;D에 279억원 투입</t>
        </is>
      </c>
      <c r="G137" s="2">
        <f>HYPERLINK("http://yna.kr/AKR20210524037900003?did=1195m", "Go to Website")</f>
        <v/>
      </c>
      <c r="H137" t="inlineStr"/>
      <c r="I137" t="inlineStr">
        <is>
          <t>M71</t>
        </is>
      </c>
      <c r="J137" s="3" t="n">
        <v>0.803</v>
      </c>
      <c r="K137" t="inlineStr">
        <is>
          <t>전문 서비스업</t>
        </is>
      </c>
      <c r="L137" t="inlineStr"/>
      <c r="M137" t="inlineStr"/>
      <c r="N137" t="inlineStr"/>
    </row>
    <row r="138">
      <c r="A138" s="1" t="inlineStr">
        <is>
          <t>2021-05-24</t>
        </is>
      </c>
      <c r="B138" t="inlineStr">
        <is>
          <t>news</t>
        </is>
      </c>
      <c r="C138" t="inlineStr">
        <is>
          <t>economy</t>
        </is>
      </c>
      <c r="D138" t="inlineStr">
        <is>
          <t>한국경제</t>
        </is>
      </c>
      <c r="E138" t="inlineStr">
        <is>
          <t>김병근</t>
        </is>
      </c>
      <c r="F138" t="inlineStr">
        <is>
          <t>대원전선, 수출입은행 대상 전환사채 50억 발행</t>
        </is>
      </c>
      <c r="G138" s="2">
        <f>HYPERLINK("https://www.hankyung.com/economy/article/202105241617i", "Go to Website")</f>
        <v/>
      </c>
      <c r="H138" t="inlineStr"/>
      <c r="I138" t="inlineStr">
        <is>
          <t>C28</t>
        </is>
      </c>
      <c r="J138" s="3" t="n">
        <v>0.831</v>
      </c>
      <c r="K138" t="inlineStr">
        <is>
          <t>전기장비 제조업</t>
        </is>
      </c>
      <c r="L138" t="inlineStr">
        <is>
          <t>0</t>
        </is>
      </c>
      <c r="M138" s="3" t="n">
        <v>0.718</v>
      </c>
      <c r="N138" t="inlineStr">
        <is>
          <t>중립</t>
        </is>
      </c>
    </row>
    <row r="139">
      <c r="A139" s="1" t="inlineStr">
        <is>
          <t>2021-05-24</t>
        </is>
      </c>
      <c r="B139" t="inlineStr">
        <is>
          <t>news</t>
        </is>
      </c>
      <c r="C139" t="inlineStr">
        <is>
          <t>economy</t>
        </is>
      </c>
      <c r="D139" t="inlineStr">
        <is>
          <t>조세일보</t>
        </is>
      </c>
      <c r="E139" t="inlineStr"/>
      <c r="F139" t="inlineStr">
        <is>
          <t>KB금융 리브챔피언십 27일 개막…친환경 중심의 대회 운영</t>
        </is>
      </c>
      <c r="G139" s="2">
        <f>HYPERLINK("http://www.joseilbo.com/news/news_read.php?uid=424278&amp;class=51", "Go to Website")</f>
        <v/>
      </c>
      <c r="H139" t="inlineStr"/>
      <c r="I139" t="inlineStr">
        <is>
          <t>K64</t>
        </is>
      </c>
      <c r="J139" s="3" t="n">
        <v>0.99</v>
      </c>
      <c r="K139" t="inlineStr">
        <is>
          <t>금융업</t>
        </is>
      </c>
      <c r="L139" t="inlineStr">
        <is>
          <t>0</t>
        </is>
      </c>
      <c r="M139" s="3" t="n">
        <v>0.991</v>
      </c>
      <c r="N139" t="inlineStr">
        <is>
          <t>중립</t>
        </is>
      </c>
    </row>
    <row r="140">
      <c r="A140" s="1" t="inlineStr">
        <is>
          <t>2021-05-24</t>
        </is>
      </c>
      <c r="B140" t="inlineStr">
        <is>
          <t>news</t>
        </is>
      </c>
      <c r="C140" t="inlineStr">
        <is>
          <t>economy</t>
        </is>
      </c>
      <c r="D140" t="inlineStr">
        <is>
          <t>이데일리</t>
        </is>
      </c>
      <c r="E140" t="inlineStr">
        <is>
          <t>이진철</t>
        </is>
      </c>
      <c r="F140" t="inlineStr">
        <is>
          <t>KB금융, 한국프로골프 '리브챔피언십' 27일 개막…친환경 이벤트 풍성</t>
        </is>
      </c>
      <c r="G140" s="2">
        <f>HYPERLINK("http://www.edaily.co.kr/news/newspath.asp?newsid=01971286629052200", "Go to Website")</f>
        <v/>
      </c>
      <c r="H140" t="inlineStr"/>
      <c r="I140" t="inlineStr">
        <is>
          <t>C15</t>
        </is>
      </c>
      <c r="J140" s="3" t="n">
        <v>0.949</v>
      </c>
      <c r="K140" t="inlineStr">
        <is>
          <t>가죽, 가방 및 신발 제조업</t>
        </is>
      </c>
      <c r="L140" t="inlineStr">
        <is>
          <t>0</t>
        </is>
      </c>
      <c r="M140" s="3" t="n">
        <v>0.997</v>
      </c>
      <c r="N140" t="inlineStr">
        <is>
          <t>중립</t>
        </is>
      </c>
    </row>
    <row r="141">
      <c r="A141" s="1" t="inlineStr">
        <is>
          <t>2021-05-24</t>
        </is>
      </c>
      <c r="B141" t="inlineStr">
        <is>
          <t>news</t>
        </is>
      </c>
      <c r="C141" t="inlineStr">
        <is>
          <t>economy</t>
        </is>
      </c>
      <c r="D141" t="inlineStr">
        <is>
          <t>경향신문</t>
        </is>
      </c>
      <c r="E141" t="inlineStr">
        <is>
          <t>정원식</t>
        </is>
      </c>
      <c r="F141" t="inlineStr">
        <is>
          <t>비트코인 한달새 반토막...테슬라 비트코인 수익률도 마이너스로 돌아서나</t>
        </is>
      </c>
      <c r="G141" s="2">
        <f>HYPERLINK("http://news.khan.co.kr/kh_news/khan_art_view.html?artid=202105241046011&amp;code=920100", "Go to Website")</f>
        <v/>
      </c>
      <c r="H141" t="inlineStr"/>
      <c r="I141" t="inlineStr">
        <is>
          <t>100</t>
        </is>
      </c>
      <c r="J141" s="3" t="n">
        <v>0.952</v>
      </c>
      <c r="K141" t="inlineStr">
        <is>
          <t>분류 제외, 기타</t>
        </is>
      </c>
      <c r="L141" t="inlineStr"/>
      <c r="M141" t="inlineStr"/>
      <c r="N141" t="inlineStr"/>
    </row>
    <row r="142">
      <c r="A142" s="1" t="inlineStr">
        <is>
          <t>2021-05-24</t>
        </is>
      </c>
      <c r="B142" t="inlineStr">
        <is>
          <t>news</t>
        </is>
      </c>
      <c r="C142" t="inlineStr">
        <is>
          <t>economy</t>
        </is>
      </c>
      <c r="D142" t="inlineStr">
        <is>
          <t>뉴시스</t>
        </is>
      </c>
      <c r="E142" t="inlineStr">
        <is>
          <t>이승주</t>
        </is>
      </c>
      <c r="F142" t="inlineStr">
        <is>
          <t>실력산업, 26일부터 K-OTC서 거래</t>
        </is>
      </c>
      <c r="G142" s="2">
        <f>HYPERLINK("http://www.newsis.com/view/?id=NISX20210524_0001450715&amp;cID=10401&amp;pID=10400", "Go to Website")</f>
        <v/>
      </c>
      <c r="H142" t="inlineStr"/>
      <c r="I142" t="inlineStr">
        <is>
          <t>R91</t>
        </is>
      </c>
      <c r="J142" s="3" t="n">
        <v>0.6860000000000001</v>
      </c>
      <c r="K142" t="inlineStr">
        <is>
          <t>스포츠 및 오락관련 서비스업</t>
        </is>
      </c>
      <c r="L142" t="inlineStr"/>
      <c r="M142" t="inlineStr"/>
      <c r="N142" t="inlineStr"/>
    </row>
    <row r="143">
      <c r="A143" s="1" t="inlineStr">
        <is>
          <t>2021-05-24</t>
        </is>
      </c>
      <c r="B143" t="inlineStr">
        <is>
          <t>news</t>
        </is>
      </c>
      <c r="C143" t="inlineStr">
        <is>
          <t>economy</t>
        </is>
      </c>
      <c r="D143" t="inlineStr">
        <is>
          <t>조선비즈</t>
        </is>
      </c>
      <c r="E143" t="inlineStr">
        <is>
          <t>권유정</t>
        </is>
      </c>
      <c r="F143" t="inlineStr">
        <is>
          <t>K-OTC시장, 실력산업 신규승인…26일부터 거래</t>
        </is>
      </c>
      <c r="G143" s="2">
        <f>HYPERLINK("https://biz.chosun.com/stock/stock_general/2021/05/24/PQXANXGF7BGKTM553MKXQIPPSA/?utm_medium=original&amp;utm_campaign=biz", "Go to Website")</f>
        <v/>
      </c>
      <c r="H143" t="inlineStr"/>
      <c r="I143" t="inlineStr">
        <is>
          <t>R90</t>
        </is>
      </c>
      <c r="J143" s="3" t="n">
        <v>0.96</v>
      </c>
      <c r="K143" t="inlineStr">
        <is>
          <t>창작, 예술 및 여가관련 서비스업</t>
        </is>
      </c>
      <c r="L143" t="inlineStr"/>
      <c r="M143" t="inlineStr"/>
      <c r="N143" t="inlineStr"/>
    </row>
    <row r="144">
      <c r="A144" s="1" t="inlineStr">
        <is>
          <t>2021-05-24</t>
        </is>
      </c>
      <c r="B144" t="inlineStr">
        <is>
          <t>news</t>
        </is>
      </c>
      <c r="C144" t="inlineStr">
        <is>
          <t>economy</t>
        </is>
      </c>
      <c r="D144" t="inlineStr">
        <is>
          <t>문화일보</t>
        </is>
      </c>
      <c r="E144" t="inlineStr">
        <is>
          <t>박수진</t>
        </is>
      </c>
      <c r="F144" t="inlineStr">
        <is>
          <t>노후火電 폐지, LNG·해상풍력 확대…‘클린에너지 허브’ 도약</t>
        </is>
      </c>
      <c r="G144" s="2">
        <f>HYPERLINK("http://www.munhwa.com/news/view.html?no=2021052401032703017002", "Go to Website")</f>
        <v/>
      </c>
      <c r="H144" t="inlineStr"/>
      <c r="I144" t="inlineStr">
        <is>
          <t>100</t>
        </is>
      </c>
      <c r="J144" s="3" t="n">
        <v>0.996</v>
      </c>
      <c r="K144" t="inlineStr">
        <is>
          <t>분류 제외, 기타</t>
        </is>
      </c>
      <c r="L144" t="inlineStr">
        <is>
          <t>0</t>
        </is>
      </c>
      <c r="M144" s="3" t="n">
        <v>0.977</v>
      </c>
      <c r="N144" t="inlineStr">
        <is>
          <t>중립</t>
        </is>
      </c>
    </row>
    <row r="145">
      <c r="A145" s="1" t="inlineStr">
        <is>
          <t>2021-05-24</t>
        </is>
      </c>
      <c r="B145" t="inlineStr">
        <is>
          <t>news</t>
        </is>
      </c>
      <c r="C145" t="inlineStr">
        <is>
          <t>economy</t>
        </is>
      </c>
      <c r="D145" t="inlineStr">
        <is>
          <t>중앙일보</t>
        </is>
      </c>
      <c r="E145" t="inlineStr">
        <is>
          <t>김영민</t>
        </is>
      </c>
      <c r="F145" t="inlineStr">
        <is>
          <t>이준석, "아이오닉5 기다린다…전기차라서 가속도 빨라”</t>
        </is>
      </c>
      <c r="G145" s="2">
        <f>HYPERLINK("https://news.joins.com/article/olink/23659545", "Go to Website")</f>
        <v/>
      </c>
      <c r="H145" t="inlineStr"/>
      <c r="I145" t="inlineStr">
        <is>
          <t>100</t>
        </is>
      </c>
      <c r="J145" s="3" t="n">
        <v>0.926</v>
      </c>
      <c r="K145" t="inlineStr">
        <is>
          <t>분류 제외, 기타</t>
        </is>
      </c>
      <c r="L145" t="inlineStr">
        <is>
          <t>0</t>
        </is>
      </c>
      <c r="M145" s="3" t="n">
        <v>0.853</v>
      </c>
      <c r="N145" t="inlineStr">
        <is>
          <t>중립</t>
        </is>
      </c>
    </row>
    <row r="146">
      <c r="A146" s="1" t="inlineStr">
        <is>
          <t>2021-05-24</t>
        </is>
      </c>
      <c r="B146" t="inlineStr">
        <is>
          <t>news</t>
        </is>
      </c>
      <c r="C146" t="inlineStr">
        <is>
          <t>tech</t>
        </is>
      </c>
      <c r="D146" t="inlineStr">
        <is>
          <t>아이뉴스24</t>
        </is>
      </c>
      <c r="E146" t="inlineStr">
        <is>
          <t>김문기</t>
        </is>
      </c>
      <c r="F146" t="inlineStr">
        <is>
          <t>스트라드비젼, 중국 오토테크 2021 참가…최신 카메라 인식기술 공개</t>
        </is>
      </c>
      <c r="G146" s="2">
        <f>HYPERLINK("http://www.inews24.com/view/1369442", "Go to Website")</f>
        <v/>
      </c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A147" s="1" t="inlineStr">
        <is>
          <t>2021-05-24</t>
        </is>
      </c>
      <c r="B147" t="inlineStr">
        <is>
          <t>news</t>
        </is>
      </c>
      <c r="C147" t="inlineStr">
        <is>
          <t>economy</t>
        </is>
      </c>
      <c r="D147" t="inlineStr">
        <is>
          <t>조선비즈</t>
        </is>
      </c>
      <c r="E147" t="inlineStr">
        <is>
          <t>이다비</t>
        </is>
      </c>
      <c r="F147" t="inlineStr">
        <is>
          <t>한투운용, 주식형 액티브 ETF 2종 출시…친환경차·ESG 투자</t>
        </is>
      </c>
      <c r="G147" s="2">
        <f>HYPERLINK("https://biz.chosun.com/stock/stock_general/2021/05/24/IMECESKBRRDXVK2M7DWSTTVOWI/?utm_medium=original&amp;utm_campaign=biz", "Go to Website")</f>
        <v/>
      </c>
      <c r="H147" t="inlineStr"/>
      <c r="I147" t="inlineStr">
        <is>
          <t>K64</t>
        </is>
      </c>
      <c r="J147" s="3" t="n">
        <v>1</v>
      </c>
      <c r="K147" t="inlineStr">
        <is>
          <t>금융업</t>
        </is>
      </c>
      <c r="L147" t="inlineStr"/>
      <c r="M147" t="inlineStr"/>
      <c r="N147" t="inlineStr"/>
    </row>
    <row r="148">
      <c r="A148" s="1" t="inlineStr">
        <is>
          <t>2021-05-24</t>
        </is>
      </c>
      <c r="B148" t="inlineStr">
        <is>
          <t>news</t>
        </is>
      </c>
      <c r="C148" t="inlineStr">
        <is>
          <t>economy</t>
        </is>
      </c>
      <c r="D148" t="inlineStr">
        <is>
          <t>서울경제</t>
        </is>
      </c>
      <c r="E148" t="inlineStr">
        <is>
          <t>정혜진</t>
        </is>
      </c>
      <c r="F148" t="inlineStr">
        <is>
          <t>IBK투자증권, 현대차 목표가 13%↑..."전기차 브랜드 전환 본격화"</t>
        </is>
      </c>
      <c r="G148" s="2">
        <f>HYPERLINK("https://www.sedaily.com/NewsView/22MHG53U51", "Go to Website")</f>
        <v/>
      </c>
      <c r="H148" t="inlineStr"/>
      <c r="I148" t="inlineStr">
        <is>
          <t>C30</t>
        </is>
      </c>
      <c r="J148" s="3" t="n">
        <v>1</v>
      </c>
      <c r="K148" t="inlineStr">
        <is>
          <t>자동차 및 트레일러 제조업</t>
        </is>
      </c>
      <c r="L148" t="inlineStr">
        <is>
          <t>1</t>
        </is>
      </c>
      <c r="M148" s="3" t="n">
        <v>0.98</v>
      </c>
      <c r="N148" t="inlineStr">
        <is>
          <t>긍정</t>
        </is>
      </c>
    </row>
    <row r="149">
      <c r="A149" s="1" t="inlineStr">
        <is>
          <t>2021-05-24</t>
        </is>
      </c>
      <c r="B149" t="inlineStr">
        <is>
          <t>news</t>
        </is>
      </c>
      <c r="C149" t="inlineStr">
        <is>
          <t>economy</t>
        </is>
      </c>
      <c r="D149" t="inlineStr">
        <is>
          <t>데일리안</t>
        </is>
      </c>
      <c r="E149" t="inlineStr">
        <is>
          <t>이미경</t>
        </is>
      </c>
      <c r="F149" t="inlineStr">
        <is>
          <t>한투운용, '친환경차·ESG' 테마 주식형 액티브 ETF 2종 출시</t>
        </is>
      </c>
      <c r="G149" s="2">
        <f>HYPERLINK("https://www.dailian.co.kr/news/view/993984/", "Go to Website")</f>
        <v/>
      </c>
      <c r="H149" t="inlineStr"/>
      <c r="I149" t="inlineStr">
        <is>
          <t>K64</t>
        </is>
      </c>
      <c r="J149" s="3" t="n">
        <v>1</v>
      </c>
      <c r="K149" t="inlineStr">
        <is>
          <t>금융업</t>
        </is>
      </c>
      <c r="L149" t="inlineStr">
        <is>
          <t>1</t>
        </is>
      </c>
      <c r="M149" s="3" t="n">
        <v>0.862</v>
      </c>
      <c r="N149" t="inlineStr">
        <is>
          <t>긍정</t>
        </is>
      </c>
    </row>
    <row r="150">
      <c r="A150" s="1" t="inlineStr">
        <is>
          <t>2021-05-24</t>
        </is>
      </c>
      <c r="B150" t="inlineStr">
        <is>
          <t>news</t>
        </is>
      </c>
      <c r="C150" t="inlineStr">
        <is>
          <t>economy</t>
        </is>
      </c>
      <c r="D150" t="inlineStr">
        <is>
          <t>이데일리</t>
        </is>
      </c>
      <c r="E150" t="inlineStr">
        <is>
          <t>이은정</t>
        </is>
      </c>
      <c r="F150" t="inlineStr">
        <is>
          <t>[머니팁]한국투신운용, 'ESG·친환경차' 액티브 ETF 2종 출시</t>
        </is>
      </c>
      <c r="G150" s="2">
        <f>HYPERLINK("http://www.edaily.co.kr/news/newspath.asp?newsid=01899126629052200", "Go to Website")</f>
        <v/>
      </c>
      <c r="H150" t="inlineStr"/>
      <c r="I150" t="inlineStr">
        <is>
          <t>K64</t>
        </is>
      </c>
      <c r="J150" s="3" t="n">
        <v>1</v>
      </c>
      <c r="K150" t="inlineStr">
        <is>
          <t>금융업</t>
        </is>
      </c>
      <c r="L150" t="inlineStr">
        <is>
          <t>1</t>
        </is>
      </c>
      <c r="M150" s="3" t="n">
        <v>0.594</v>
      </c>
      <c r="N150" t="inlineStr">
        <is>
          <t>긍정</t>
        </is>
      </c>
    </row>
    <row r="151">
      <c r="A151" s="1" t="inlineStr">
        <is>
          <t>2021-05-24</t>
        </is>
      </c>
      <c r="B151" t="inlineStr">
        <is>
          <t>news</t>
        </is>
      </c>
      <c r="C151" t="inlineStr">
        <is>
          <t>economy</t>
        </is>
      </c>
      <c r="D151" t="inlineStr">
        <is>
          <t>아시아경제</t>
        </is>
      </c>
      <c r="E151" t="inlineStr">
        <is>
          <t>박선미</t>
        </is>
      </c>
      <c r="F151" t="inlineStr">
        <is>
          <t>KB금융 리브챔피언십 27일 개막…"친환경 메시지 담아 대회운영"</t>
        </is>
      </c>
      <c r="G151" s="2">
        <f>HYPERLINK("https://view.asiae.co.kr/article/2021052410133822395", "Go to Website")</f>
        <v/>
      </c>
      <c r="H151" t="inlineStr"/>
      <c r="I151" t="inlineStr">
        <is>
          <t>K64</t>
        </is>
      </c>
      <c r="J151" s="3" t="n">
        <v>1</v>
      </c>
      <c r="K151" t="inlineStr">
        <is>
          <t>금융업</t>
        </is>
      </c>
      <c r="L151" t="inlineStr">
        <is>
          <t>0</t>
        </is>
      </c>
      <c r="M151" s="3" t="n">
        <v>0.956</v>
      </c>
      <c r="N151" t="inlineStr">
        <is>
          <t>중립</t>
        </is>
      </c>
    </row>
    <row r="152">
      <c r="A152" s="1" t="inlineStr">
        <is>
          <t>2021-05-24</t>
        </is>
      </c>
      <c r="B152" t="inlineStr">
        <is>
          <t>news</t>
        </is>
      </c>
      <c r="C152" t="inlineStr">
        <is>
          <t>economy</t>
        </is>
      </c>
      <c r="D152" t="inlineStr">
        <is>
          <t>헤럴드경제</t>
        </is>
      </c>
      <c r="E152" t="inlineStr">
        <is>
          <t>김현경</t>
        </is>
      </c>
      <c r="F152" t="inlineStr">
        <is>
          <t>[특징주]덕양산업, 美 배터리 모듈 공장 설립 소식에 6%대 강세</t>
        </is>
      </c>
      <c r="G152" s="2">
        <f>HYPERLINK("http://news.heraldcorp.com/view.php?ud=20210524000208", "Go to Website")</f>
        <v/>
      </c>
      <c r="H152" t="inlineStr"/>
      <c r="I152" t="inlineStr">
        <is>
          <t>C30</t>
        </is>
      </c>
      <c r="J152" s="3" t="n">
        <v>1</v>
      </c>
      <c r="K152" t="inlineStr">
        <is>
          <t>자동차 및 트레일러 제조업</t>
        </is>
      </c>
      <c r="L152" t="inlineStr">
        <is>
          <t>1</t>
        </is>
      </c>
      <c r="M152" s="3" t="n">
        <v>1</v>
      </c>
      <c r="N152" t="inlineStr">
        <is>
          <t>긍정</t>
        </is>
      </c>
    </row>
    <row r="153">
      <c r="A153" s="1" t="inlineStr">
        <is>
          <t>2021-05-24</t>
        </is>
      </c>
      <c r="B153" t="inlineStr">
        <is>
          <t>news</t>
        </is>
      </c>
      <c r="C153" t="inlineStr">
        <is>
          <t>economy</t>
        </is>
      </c>
      <c r="D153" t="inlineStr">
        <is>
          <t>연합뉴스</t>
        </is>
      </c>
      <c r="E153" t="inlineStr">
        <is>
          <t>박원희</t>
        </is>
      </c>
      <c r="F153" t="inlineStr">
        <is>
          <t>[증시신상품] 한투운용, 친환경차·ESG 투자 액티브 ETF 2종 출시</t>
        </is>
      </c>
      <c r="G153" s="2">
        <f>HYPERLINK("http://yna.kr/AKR20210524044900002?did=1195m", "Go to Website")</f>
        <v/>
      </c>
      <c r="H153" t="inlineStr"/>
      <c r="I153" t="inlineStr">
        <is>
          <t>K64</t>
        </is>
      </c>
      <c r="J153" s="3" t="n">
        <v>1</v>
      </c>
      <c r="K153" t="inlineStr">
        <is>
          <t>금융업</t>
        </is>
      </c>
      <c r="L153" t="inlineStr"/>
      <c r="M153" t="inlineStr"/>
      <c r="N153" t="inlineStr"/>
    </row>
    <row r="154">
      <c r="A154" s="1" t="inlineStr">
        <is>
          <t>2021-05-24</t>
        </is>
      </c>
      <c r="B154" t="inlineStr">
        <is>
          <t>news</t>
        </is>
      </c>
      <c r="C154" t="inlineStr">
        <is>
          <t>economy</t>
        </is>
      </c>
      <c r="D154" t="inlineStr">
        <is>
          <t>조선비즈</t>
        </is>
      </c>
      <c r="E154" t="inlineStr">
        <is>
          <t>김송이</t>
        </is>
      </c>
      <c r="F154" t="inlineStr">
        <is>
          <t>대우건설, 6월 중 대구 ‘침산 푸르지오 에듀포레’ 분양</t>
        </is>
      </c>
      <c r="G154" s="2">
        <f>HYPERLINK("https://biz.chosun.com/real_estate/parcel_out/2021/05/24/NK5473WXMJGWRIUZ43XVI3G6RY/?utm_medium=original&amp;utm_campaign=biz", "Go to Website")</f>
        <v/>
      </c>
      <c r="H154" t="inlineStr"/>
      <c r="I154" t="inlineStr">
        <is>
          <t>F41</t>
        </is>
      </c>
      <c r="J154" s="3" t="n">
        <v>1</v>
      </c>
      <c r="K154" t="inlineStr">
        <is>
          <t>종합 건설업</t>
        </is>
      </c>
      <c r="L154" t="inlineStr">
        <is>
          <t>0</t>
        </is>
      </c>
      <c r="M154" s="3" t="n">
        <v>1</v>
      </c>
      <c r="N154" t="inlineStr">
        <is>
          <t>중립</t>
        </is>
      </c>
    </row>
    <row r="155">
      <c r="A155" s="1" t="inlineStr">
        <is>
          <t>2021-05-24</t>
        </is>
      </c>
      <c r="B155" t="inlineStr">
        <is>
          <t>news</t>
        </is>
      </c>
      <c r="C155" t="inlineStr">
        <is>
          <t>economy</t>
        </is>
      </c>
      <c r="D155" t="inlineStr">
        <is>
          <t>주간동아</t>
        </is>
      </c>
      <c r="E155" t="inlineStr">
        <is>
          <t>김유림</t>
        </is>
      </c>
      <c r="F155" t="inlineStr">
        <is>
          <t>[냉탕온탕] 권준학, 우드↓ 김준, 허일섭, 유정범↑</t>
        </is>
      </c>
      <c r="G155" s="2">
        <f>HYPERLINK("https://weekly.donga.com/3/all/11/2663440/1", "Go to Website")</f>
        <v/>
      </c>
      <c r="H155" t="inlineStr"/>
      <c r="I155" t="inlineStr">
        <is>
          <t>K64</t>
        </is>
      </c>
      <c r="J155" s="3" t="n">
        <v>0.9429999999999999</v>
      </c>
      <c r="K155" t="inlineStr">
        <is>
          <t>금융업</t>
        </is>
      </c>
      <c r="L155" t="inlineStr"/>
      <c r="M155" t="inlineStr"/>
      <c r="N155" t="inlineStr"/>
    </row>
    <row r="156">
      <c r="A156" s="1" t="inlineStr">
        <is>
          <t>2021-05-24</t>
        </is>
      </c>
      <c r="B156" t="inlineStr">
        <is>
          <t>news</t>
        </is>
      </c>
      <c r="C156" t="inlineStr">
        <is>
          <t>economy</t>
        </is>
      </c>
      <c r="D156" t="inlineStr">
        <is>
          <t>데일리안</t>
        </is>
      </c>
      <c r="E156" t="inlineStr">
        <is>
          <t>부광우</t>
        </is>
      </c>
      <c r="F156" t="inlineStr">
        <is>
          <t>KB금융 리브챔피언십 27일 개막…친환경 운영 '눈길'</t>
        </is>
      </c>
      <c r="G156" s="2">
        <f>HYPERLINK("https://www.dailian.co.kr/news/view/993961/", "Go to Website")</f>
        <v/>
      </c>
      <c r="H156" t="inlineStr"/>
      <c r="I156" t="inlineStr">
        <is>
          <t>Q86</t>
        </is>
      </c>
      <c r="J156" s="3" t="n">
        <v>0.436</v>
      </c>
      <c r="K156" t="inlineStr">
        <is>
          <t>보건업</t>
        </is>
      </c>
      <c r="L156" t="inlineStr">
        <is>
          <t>0</t>
        </is>
      </c>
      <c r="M156" s="3" t="n">
        <v>0.968</v>
      </c>
      <c r="N156" t="inlineStr">
        <is>
          <t>중립</t>
        </is>
      </c>
    </row>
    <row r="157">
      <c r="A157" s="1" t="inlineStr">
        <is>
          <t>2021-05-24</t>
        </is>
      </c>
      <c r="B157" t="inlineStr">
        <is>
          <t>news</t>
        </is>
      </c>
      <c r="C157" t="inlineStr">
        <is>
          <t>economy</t>
        </is>
      </c>
      <c r="D157" t="inlineStr">
        <is>
          <t>헤럴드경제</t>
        </is>
      </c>
      <c r="E157" t="inlineStr">
        <is>
          <t>김현일</t>
        </is>
      </c>
      <c r="F157" t="inlineStr">
        <is>
          <t>[피플앤데이터] ‘경제외교’ 빛난 최태원</t>
        </is>
      </c>
      <c r="G157" s="2">
        <f>HYPERLINK("http://news.heraldcorp.com/view.php?ud=20210524000162", "Go to Website")</f>
        <v/>
      </c>
      <c r="H157" t="inlineStr"/>
      <c r="I157" t="inlineStr">
        <is>
          <t>100</t>
        </is>
      </c>
      <c r="J157" s="3" t="n">
        <v>1</v>
      </c>
      <c r="K157" t="inlineStr">
        <is>
          <t>분류 제외, 기타</t>
        </is>
      </c>
      <c r="L157" t="inlineStr"/>
      <c r="M157" t="inlineStr"/>
      <c r="N157" t="inlineStr"/>
    </row>
    <row r="158">
      <c r="A158" s="1" t="inlineStr">
        <is>
          <t>2021-05-24</t>
        </is>
      </c>
      <c r="B158" t="inlineStr">
        <is>
          <t>news</t>
        </is>
      </c>
      <c r="C158" t="inlineStr">
        <is>
          <t>economy</t>
        </is>
      </c>
      <c r="D158" t="inlineStr">
        <is>
          <t>아시아경제</t>
        </is>
      </c>
      <c r="E158" t="inlineStr">
        <is>
          <t>김동표</t>
        </is>
      </c>
      <c r="F158" t="inlineStr">
        <is>
          <t>대우건설, 대구 '침산 푸르지오 에듀포레' 6월 분양</t>
        </is>
      </c>
      <c r="G158" s="2">
        <f>HYPERLINK("https://view.asiae.co.kr/article/2021052409331457538", "Go to Website")</f>
        <v/>
      </c>
      <c r="H158" t="inlineStr"/>
      <c r="I158" t="inlineStr">
        <is>
          <t>F41</t>
        </is>
      </c>
      <c r="J158" s="3" t="n">
        <v>1</v>
      </c>
      <c r="K158" t="inlineStr">
        <is>
          <t>종합 건설업</t>
        </is>
      </c>
      <c r="L158" t="inlineStr">
        <is>
          <t>0</t>
        </is>
      </c>
      <c r="M158" s="3" t="n">
        <v>1</v>
      </c>
      <c r="N158" t="inlineStr">
        <is>
          <t>중립</t>
        </is>
      </c>
    </row>
    <row r="159">
      <c r="A159" s="1" t="inlineStr">
        <is>
          <t>2021-05-24</t>
        </is>
      </c>
      <c r="B159" t="inlineStr">
        <is>
          <t>news</t>
        </is>
      </c>
      <c r="C159" t="inlineStr">
        <is>
          <t>economy</t>
        </is>
      </c>
      <c r="D159" t="inlineStr">
        <is>
          <t>서울경제</t>
        </is>
      </c>
      <c r="E159" t="inlineStr">
        <is>
          <t>이승배</t>
        </is>
      </c>
      <c r="F159" t="inlineStr">
        <is>
          <t>"모멘텀 공백기 채운다"...한미 정상회담 수혜주는?</t>
        </is>
      </c>
      <c r="G159" s="2">
        <f>HYPERLINK("https://www.sedaily.com/NewsView/22MHGIHTTW", "Go to Website")</f>
        <v/>
      </c>
      <c r="H159" t="inlineStr"/>
      <c r="I159" t="inlineStr">
        <is>
          <t>C21</t>
        </is>
      </c>
      <c r="J159" s="3" t="n">
        <v>0.647</v>
      </c>
      <c r="K159" t="inlineStr">
        <is>
          <t>의료용 물질 및 의약품 제조업</t>
        </is>
      </c>
      <c r="L159" t="inlineStr"/>
      <c r="M159" t="inlineStr"/>
      <c r="N159" t="inlineStr"/>
    </row>
    <row r="160">
      <c r="A160" s="1" t="inlineStr">
        <is>
          <t>2021-05-24</t>
        </is>
      </c>
      <c r="B160" t="inlineStr">
        <is>
          <t>news</t>
        </is>
      </c>
      <c r="C160" t="inlineStr">
        <is>
          <t>economy</t>
        </is>
      </c>
      <c r="D160" t="inlineStr">
        <is>
          <t>한국경제TV</t>
        </is>
      </c>
      <c r="E160" t="inlineStr"/>
      <c r="F160" t="inlineStr">
        <is>
          <t>[와우넷 공개방송] '韓-美 정상회담 종료'...기술도입에 따른 수혜주는?</t>
        </is>
      </c>
      <c r="G160" s="2">
        <f>HYPERLINK("http://www.wowtv.co.kr/NewsCenter/News/Read?articleId=A202105240070&amp;t=NN", "Go to Website")</f>
        <v/>
      </c>
      <c r="H160" t="inlineStr"/>
      <c r="I160" t="inlineStr">
        <is>
          <t>100</t>
        </is>
      </c>
      <c r="J160" s="3" t="n">
        <v>0.385</v>
      </c>
      <c r="K160" t="inlineStr">
        <is>
          <t>분류 제외, 기타</t>
        </is>
      </c>
      <c r="L160" t="inlineStr"/>
      <c r="M160" t="inlineStr"/>
      <c r="N160" t="inlineStr"/>
    </row>
    <row r="161">
      <c r="A161" s="1" t="inlineStr">
        <is>
          <t>2021-05-24</t>
        </is>
      </c>
      <c r="B161" t="inlineStr">
        <is>
          <t>news</t>
        </is>
      </c>
      <c r="C161" t="inlineStr">
        <is>
          <t>tech</t>
        </is>
      </c>
      <c r="D161" t="inlineStr">
        <is>
          <t>디지털데일리</t>
        </is>
      </c>
      <c r="E161" t="inlineStr">
        <is>
          <t>김도현</t>
        </is>
      </c>
      <c r="F161" t="inlineStr">
        <is>
          <t>"고철이었는데"…8인치 반도체 장비 확보 경쟁 '점입가경'</t>
        </is>
      </c>
      <c r="G161" s="2">
        <f>HYPERLINK("http://www.ddaily.co.kr/news/article.html?no=214714", "Go to Website")</f>
        <v/>
      </c>
      <c r="H161" t="inlineStr"/>
      <c r="I161" t="inlineStr"/>
      <c r="J161" t="inlineStr"/>
      <c r="K161" t="inlineStr"/>
      <c r="L161" t="inlineStr"/>
      <c r="M161" t="inlineStr"/>
      <c r="N161" t="inlineStr"/>
    </row>
    <row r="162">
      <c r="A162" s="1" t="inlineStr">
        <is>
          <t>2021-05-24</t>
        </is>
      </c>
      <c r="B162" t="inlineStr">
        <is>
          <t>news</t>
        </is>
      </c>
      <c r="C162" t="inlineStr">
        <is>
          <t>economy</t>
        </is>
      </c>
      <c r="D162" t="inlineStr">
        <is>
          <t>뉴시스</t>
        </is>
      </c>
      <c r="E162" t="inlineStr">
        <is>
          <t>이승주</t>
        </is>
      </c>
      <c r="F162" t="inlineStr">
        <is>
          <t>엠플러스, 유럽서 58억 규모 공급 계약…작년 매출 4%</t>
        </is>
      </c>
      <c r="G162" s="2">
        <f>HYPERLINK("http://www.newsis.com/view/?id=NISX20210524_0001450423&amp;cID=10401&amp;pID=10400", "Go to Website")</f>
        <v/>
      </c>
      <c r="H162" t="inlineStr"/>
      <c r="I162" t="inlineStr">
        <is>
          <t>C27</t>
        </is>
      </c>
      <c r="J162" s="3" t="n">
        <v>0.984</v>
      </c>
      <c r="K162" t="inlineStr">
        <is>
          <t>의료, 정밀, 광학 기기 및 시계 제조업</t>
        </is>
      </c>
      <c r="L162" t="inlineStr">
        <is>
          <t>1</t>
        </is>
      </c>
      <c r="M162" s="3" t="n">
        <v>0.996</v>
      </c>
      <c r="N162" t="inlineStr">
        <is>
          <t>긍정</t>
        </is>
      </c>
    </row>
    <row r="163">
      <c r="A163" s="1" t="inlineStr">
        <is>
          <t>2021-05-24</t>
        </is>
      </c>
      <c r="B163" t="inlineStr">
        <is>
          <t>news</t>
        </is>
      </c>
      <c r="C163" t="inlineStr">
        <is>
          <t>economy</t>
        </is>
      </c>
      <c r="D163" t="inlineStr">
        <is>
          <t>SBS Biz</t>
        </is>
      </c>
      <c r="E163" t="inlineStr"/>
      <c r="F163" t="inlineStr">
        <is>
          <t>글로벌 디지털화폐 경쟁 막 오르나…디지털 화폐 관련주 강세</t>
        </is>
      </c>
      <c r="G163" s="2">
        <f>HYPERLINK("https://biz.sbs.co.kr/article_hub/20000016468", "Go to Website")</f>
        <v/>
      </c>
      <c r="H163" t="inlineStr"/>
      <c r="I163" t="inlineStr">
        <is>
          <t>K64</t>
        </is>
      </c>
      <c r="J163" s="3" t="n">
        <v>0.901</v>
      </c>
      <c r="K163" t="inlineStr">
        <is>
          <t>금융업</t>
        </is>
      </c>
      <c r="L163" t="inlineStr"/>
      <c r="M163" t="inlineStr"/>
      <c r="N163" t="inlineStr"/>
    </row>
    <row r="164">
      <c r="A164" s="1" t="inlineStr">
        <is>
          <t>2021-05-24</t>
        </is>
      </c>
      <c r="B164" t="inlineStr">
        <is>
          <t>news</t>
        </is>
      </c>
      <c r="C164" t="inlineStr">
        <is>
          <t>economy</t>
        </is>
      </c>
      <c r="D164" t="inlineStr">
        <is>
          <t>뉴스1</t>
        </is>
      </c>
      <c r="E164" t="inlineStr">
        <is>
          <t>김수정</t>
        </is>
      </c>
      <c r="F164" t="inlineStr">
        <is>
          <t>㈜캐스트프로, EV트렌드코리아에서 헬로차저 완속충전기 공개</t>
        </is>
      </c>
      <c r="G164" s="2">
        <f>HYPERLINK("https://www.news1.kr/articles/?4313928", "Go to Website")</f>
        <v/>
      </c>
      <c r="H164" t="inlineStr"/>
      <c r="I164" t="inlineStr">
        <is>
          <t>J59</t>
        </is>
      </c>
      <c r="J164" s="3" t="n">
        <v>0.97</v>
      </c>
      <c r="K164" t="inlineStr">
        <is>
          <t>영상ㆍ오디오 기록물 제작 및 배급업</t>
        </is>
      </c>
      <c r="L164" t="inlineStr"/>
      <c r="M164" t="inlineStr"/>
      <c r="N164" t="inlineStr"/>
    </row>
    <row r="165">
      <c r="A165" s="1" t="inlineStr">
        <is>
          <t>2021-05-24</t>
        </is>
      </c>
      <c r="B165" t="inlineStr">
        <is>
          <t>news</t>
        </is>
      </c>
      <c r="C165" t="inlineStr">
        <is>
          <t>economy</t>
        </is>
      </c>
      <c r="D165" t="inlineStr">
        <is>
          <t>뉴스1</t>
        </is>
      </c>
      <c r="E165" t="inlineStr">
        <is>
          <t>박응진</t>
        </is>
      </c>
      <c r="F165" t="inlineStr">
        <is>
          <t>한투운용, 친환경車·ESG 투자하는 주식형 액티브 ETF 2종 출시</t>
        </is>
      </c>
      <c r="G165" s="2">
        <f>HYPERLINK("https://www.news1.kr/articles/?4315192", "Go to Website")</f>
        <v/>
      </c>
      <c r="H165" t="inlineStr"/>
      <c r="I165" t="inlineStr">
        <is>
          <t>K64</t>
        </is>
      </c>
      <c r="J165" s="3" t="n">
        <v>1</v>
      </c>
      <c r="K165" t="inlineStr">
        <is>
          <t>금융업</t>
        </is>
      </c>
      <c r="L165" t="inlineStr"/>
      <c r="M165" t="inlineStr"/>
      <c r="N165" t="inlineStr"/>
    </row>
    <row r="166">
      <c r="A166" s="1" t="inlineStr">
        <is>
          <t>2021-05-24</t>
        </is>
      </c>
      <c r="B166" t="inlineStr">
        <is>
          <t>news</t>
        </is>
      </c>
      <c r="C166" t="inlineStr">
        <is>
          <t>economy</t>
        </is>
      </c>
      <c r="D166" t="inlineStr">
        <is>
          <t>파이낸셜뉴스</t>
        </is>
      </c>
      <c r="E166" t="inlineStr">
        <is>
          <t>김정호</t>
        </is>
      </c>
      <c r="F166" t="inlineStr">
        <is>
          <t>한투신운용, '친환경차·ESG 테마' 주식형 액티브 ETF 출시</t>
        </is>
      </c>
      <c r="G166" s="2">
        <f>HYPERLINK("http://www.fnnews.com/news/202105240840559390", "Go to Website")</f>
        <v/>
      </c>
      <c r="H166" t="inlineStr"/>
      <c r="I166" t="inlineStr">
        <is>
          <t>K64</t>
        </is>
      </c>
      <c r="J166" s="3" t="n">
        <v>1</v>
      </c>
      <c r="K166" t="inlineStr">
        <is>
          <t>금융업</t>
        </is>
      </c>
      <c r="L166" t="inlineStr">
        <is>
          <t>1</t>
        </is>
      </c>
      <c r="M166" s="3" t="n">
        <v>0.88</v>
      </c>
      <c r="N166" t="inlineStr">
        <is>
          <t>긍정</t>
        </is>
      </c>
    </row>
    <row r="167">
      <c r="A167" s="1" t="inlineStr">
        <is>
          <t>2021-05-24</t>
        </is>
      </c>
      <c r="B167" t="inlineStr">
        <is>
          <t>news</t>
        </is>
      </c>
      <c r="C167" t="inlineStr">
        <is>
          <t>economy</t>
        </is>
      </c>
      <c r="D167" t="inlineStr">
        <is>
          <t>아시아경제</t>
        </is>
      </c>
      <c r="E167" t="inlineStr">
        <is>
          <t>황준호</t>
        </is>
      </c>
      <c r="F167" t="inlineStr">
        <is>
          <t>네비게이터 '액티브ETF' 출시.. 30% 독자운용</t>
        </is>
      </c>
      <c r="G167" s="2">
        <f>HYPERLINK("https://view.asiae.co.kr/article/2021052408544251331", "Go to Website")</f>
        <v/>
      </c>
      <c r="H167" t="inlineStr"/>
      <c r="I167" t="inlineStr">
        <is>
          <t>K64</t>
        </is>
      </c>
      <c r="J167" s="3" t="n">
        <v>1</v>
      </c>
      <c r="K167" t="inlineStr">
        <is>
          <t>금융업</t>
        </is>
      </c>
      <c r="L167" t="inlineStr">
        <is>
          <t>1</t>
        </is>
      </c>
      <c r="M167" s="3" t="n">
        <v>0.987</v>
      </c>
      <c r="N167" t="inlineStr">
        <is>
          <t>긍정</t>
        </is>
      </c>
    </row>
    <row r="168">
      <c r="A168" s="1" t="inlineStr">
        <is>
          <t>2021-05-24</t>
        </is>
      </c>
      <c r="B168" t="inlineStr">
        <is>
          <t>news</t>
        </is>
      </c>
      <c r="C168" t="inlineStr">
        <is>
          <t>economy</t>
        </is>
      </c>
      <c r="D168" t="inlineStr">
        <is>
          <t>SBS Biz</t>
        </is>
      </c>
      <c r="E168" t="inlineStr">
        <is>
          <t>전서인</t>
        </is>
      </c>
      <c r="F168" t="inlineStr">
        <is>
          <t>[오늘 기업 오늘 사람] 모더나·노바백스·삼성전자·SK이노베이션</t>
        </is>
      </c>
      <c r="G168" s="2">
        <f>HYPERLINK("https://biz.sbs.co.kr/article_hub/20000016459", "Go to Website")</f>
        <v/>
      </c>
      <c r="H168" t="inlineStr"/>
      <c r="I168" t="inlineStr">
        <is>
          <t>C21</t>
        </is>
      </c>
      <c r="J168" s="3" t="n">
        <v>1</v>
      </c>
      <c r="K168" t="inlineStr">
        <is>
          <t>의료용 물질 및 의약품 제조업</t>
        </is>
      </c>
      <c r="L168" t="inlineStr"/>
      <c r="M168" t="inlineStr"/>
      <c r="N168" t="inlineStr"/>
    </row>
    <row r="169">
      <c r="A169" s="1" t="inlineStr">
        <is>
          <t>2021-05-24</t>
        </is>
      </c>
      <c r="B169" t="inlineStr">
        <is>
          <t>news</t>
        </is>
      </c>
      <c r="C169" t="inlineStr">
        <is>
          <t>economy</t>
        </is>
      </c>
      <c r="D169" t="inlineStr">
        <is>
          <t>머니투데이</t>
        </is>
      </c>
      <c r="E169" t="inlineStr">
        <is>
          <t>이강준</t>
        </is>
      </c>
      <c r="F169" t="inlineStr">
        <is>
          <t>택배도 전기차 시대…CJ대한통운, 전기택배차 13대 추가 도입</t>
        </is>
      </c>
      <c r="G169" s="2">
        <f>HYPERLINK("http://news.mt.co.kr/mtview.php?no=2021052408364331783", "Go to Website")</f>
        <v/>
      </c>
      <c r="H169" t="inlineStr"/>
      <c r="I169" t="inlineStr">
        <is>
          <t>H49</t>
        </is>
      </c>
      <c r="J169" s="3" t="n">
        <v>1</v>
      </c>
      <c r="K169" t="inlineStr">
        <is>
          <t>육상 운송 및 파이프라인 운송업</t>
        </is>
      </c>
      <c r="L169" t="inlineStr">
        <is>
          <t>1</t>
        </is>
      </c>
      <c r="M169" s="3" t="n">
        <v>0.983</v>
      </c>
      <c r="N169" t="inlineStr">
        <is>
          <t>긍정</t>
        </is>
      </c>
    </row>
    <row r="170">
      <c r="A170" s="1" t="inlineStr">
        <is>
          <t>2021-05-24</t>
        </is>
      </c>
      <c r="B170" t="inlineStr">
        <is>
          <t>news</t>
        </is>
      </c>
      <c r="C170" t="inlineStr">
        <is>
          <t>economy</t>
        </is>
      </c>
      <c r="D170" t="inlineStr">
        <is>
          <t>SBS Biz</t>
        </is>
      </c>
      <c r="E170" t="inlineStr"/>
      <c r="F170" t="inlineStr">
        <is>
          <t>[오늘의 키워드] 점점 커지는 전기차 시장…韓, 배터리 제조 능력만 1위</t>
        </is>
      </c>
      <c r="G170" s="2">
        <f>HYPERLINK("https://biz.sbs.co.kr/article_hub/20000016463", "Go to Website")</f>
        <v/>
      </c>
      <c r="H170" t="inlineStr"/>
      <c r="I170" t="inlineStr">
        <is>
          <t>C27</t>
        </is>
      </c>
      <c r="J170" s="3" t="n">
        <v>0.632</v>
      </c>
      <c r="K170" t="inlineStr">
        <is>
          <t>의료, 정밀, 광학 기기 및 시계 제조업</t>
        </is>
      </c>
      <c r="L170" t="inlineStr"/>
      <c r="M170" t="inlineStr"/>
      <c r="N170" t="inlineStr"/>
    </row>
    <row r="171">
      <c r="A171" s="1" t="inlineStr">
        <is>
          <t>2021-05-24</t>
        </is>
      </c>
      <c r="B171" t="inlineStr">
        <is>
          <t>news</t>
        </is>
      </c>
      <c r="C171" t="inlineStr">
        <is>
          <t>economy</t>
        </is>
      </c>
      <c r="D171" t="inlineStr">
        <is>
          <t>아시아경제</t>
        </is>
      </c>
      <c r="E171" t="inlineStr">
        <is>
          <t>이민지</t>
        </is>
      </c>
      <c r="F171" t="inlineStr">
        <is>
          <t>한국투자신탁운용, 주식형 액티브 ETF '네비게이터' 2종 선봬</t>
        </is>
      </c>
      <c r="G171" s="2">
        <f>HYPERLINK("https://view.asiae.co.kr/article/2021052408180162470", "Go to Website")</f>
        <v/>
      </c>
      <c r="H171" t="inlineStr"/>
      <c r="I171" t="inlineStr">
        <is>
          <t>K64</t>
        </is>
      </c>
      <c r="J171" s="3" t="n">
        <v>1</v>
      </c>
      <c r="K171" t="inlineStr">
        <is>
          <t>금융업</t>
        </is>
      </c>
      <c r="L171" t="inlineStr">
        <is>
          <t>0</t>
        </is>
      </c>
      <c r="M171" s="3" t="n">
        <v>0.919</v>
      </c>
      <c r="N171" t="inlineStr">
        <is>
          <t>중립</t>
        </is>
      </c>
    </row>
    <row r="172">
      <c r="A172" s="1" t="inlineStr">
        <is>
          <t>2021-05-24</t>
        </is>
      </c>
      <c r="B172" t="inlineStr">
        <is>
          <t>news</t>
        </is>
      </c>
      <c r="C172" t="inlineStr">
        <is>
          <t>economy</t>
        </is>
      </c>
      <c r="D172" t="inlineStr">
        <is>
          <t>뉴스1</t>
        </is>
      </c>
      <c r="E172" t="inlineStr">
        <is>
          <t>박응진</t>
        </is>
      </c>
      <c r="F172" t="inlineStr">
        <is>
          <t>대신證 "한미정상회담, 코스피 상승추세 강화에 힘 된다"</t>
        </is>
      </c>
      <c r="G172" s="2">
        <f>HYPERLINK("https://www.news1.kr/articles/?4315133", "Go to Website")</f>
        <v/>
      </c>
      <c r="H172" t="inlineStr"/>
      <c r="I172" t="inlineStr">
        <is>
          <t>K64</t>
        </is>
      </c>
      <c r="J172" s="3" t="n">
        <v>0.8070000000000001</v>
      </c>
      <c r="K172" t="inlineStr">
        <is>
          <t>금융업</t>
        </is>
      </c>
      <c r="L172" t="inlineStr"/>
      <c r="M172" t="inlineStr"/>
      <c r="N172" t="inlineStr"/>
    </row>
    <row r="173">
      <c r="A173" s="1" t="inlineStr">
        <is>
          <t>2021-05-24</t>
        </is>
      </c>
      <c r="B173" t="inlineStr">
        <is>
          <t>news</t>
        </is>
      </c>
      <c r="C173" t="inlineStr">
        <is>
          <t>economy</t>
        </is>
      </c>
      <c r="D173" t="inlineStr">
        <is>
          <t>이데일리</t>
        </is>
      </c>
      <c r="E173" t="inlineStr">
        <is>
          <t>이은정</t>
        </is>
      </c>
      <c r="F173" t="inlineStr">
        <is>
          <t>"한미정상회담, 韓증시 긍정적…반도체·車·제약·항공우주 주목"</t>
        </is>
      </c>
      <c r="G173" s="2">
        <f>HYPERLINK("http://www.edaily.co.kr/news/newspath.asp?newsid=01348086629052200", "Go to Website")</f>
        <v/>
      </c>
      <c r="H173" t="inlineStr"/>
      <c r="I173" t="inlineStr">
        <is>
          <t>C29</t>
        </is>
      </c>
      <c r="J173" s="3" t="n">
        <v>0.229</v>
      </c>
      <c r="K173" t="inlineStr">
        <is>
          <t>기타 기계 및 장비 제조업</t>
        </is>
      </c>
      <c r="L173" t="inlineStr"/>
      <c r="M173" t="inlineStr"/>
      <c r="N173" t="inlineStr"/>
    </row>
    <row r="174">
      <c r="A174" s="1" t="inlineStr">
        <is>
          <t>2021-05-24</t>
        </is>
      </c>
      <c r="B174" t="inlineStr">
        <is>
          <t>news</t>
        </is>
      </c>
      <c r="C174" t="inlineStr">
        <is>
          <t>economy</t>
        </is>
      </c>
      <c r="D174" t="inlineStr">
        <is>
          <t>뉴시스</t>
        </is>
      </c>
      <c r="E174" t="inlineStr">
        <is>
          <t>류병화</t>
        </is>
      </c>
      <c r="F174" t="inlineStr">
        <is>
          <t>[빅데이터MSI]시장심리 톱5, KT·GS리테일·SK하이닉스·아모레퍼시픽·삼성물산</t>
        </is>
      </c>
      <c r="G174" s="2">
        <f>HYPERLINK("http://www.newsis.com/view/?id=NISX20210524_0001450332&amp;cID=10401&amp;pID=10400", "Go to Website")</f>
        <v/>
      </c>
      <c r="H174" t="inlineStr"/>
      <c r="I174" t="inlineStr">
        <is>
          <t>100</t>
        </is>
      </c>
      <c r="J174" s="3" t="n">
        <v>1</v>
      </c>
      <c r="K174" t="inlineStr">
        <is>
          <t>분류 제외, 기타</t>
        </is>
      </c>
      <c r="L174" t="inlineStr"/>
      <c r="M174" t="inlineStr"/>
      <c r="N174" t="inlineStr"/>
    </row>
    <row r="175">
      <c r="A175" s="1" t="inlineStr">
        <is>
          <t>2021-05-24</t>
        </is>
      </c>
      <c r="B175" t="inlineStr">
        <is>
          <t>news</t>
        </is>
      </c>
      <c r="C175" t="inlineStr">
        <is>
          <t>economy</t>
        </is>
      </c>
      <c r="D175" t="inlineStr">
        <is>
          <t>뉴시스</t>
        </is>
      </c>
      <c r="E175" t="inlineStr">
        <is>
          <t>이승주</t>
        </is>
      </c>
      <c r="F175" t="inlineStr">
        <is>
          <t>삼성證 "코람코에너지리츠, 주유소 매각…130억 배당 가능"</t>
        </is>
      </c>
      <c r="G175" s="2">
        <f>HYPERLINK("http://www.newsis.com/view/?id=NISX20210524_0001450343&amp;cID=10401&amp;pID=10400", "Go to Website")</f>
        <v/>
      </c>
      <c r="H175" t="inlineStr"/>
      <c r="I175" t="inlineStr">
        <is>
          <t>K64</t>
        </is>
      </c>
      <c r="J175" s="3" t="n">
        <v>0.995</v>
      </c>
      <c r="K175" t="inlineStr">
        <is>
          <t>금융업</t>
        </is>
      </c>
      <c r="L175" t="inlineStr">
        <is>
          <t>0</t>
        </is>
      </c>
      <c r="M175" s="3" t="n">
        <v>0.857</v>
      </c>
      <c r="N175" t="inlineStr">
        <is>
          <t>중립</t>
        </is>
      </c>
    </row>
    <row r="176">
      <c r="A176" s="1" t="inlineStr">
        <is>
          <t>2021-05-24</t>
        </is>
      </c>
      <c r="B176" t="inlineStr">
        <is>
          <t>news</t>
        </is>
      </c>
      <c r="C176" t="inlineStr">
        <is>
          <t>economy</t>
        </is>
      </c>
      <c r="D176" t="inlineStr">
        <is>
          <t>SBS Biz</t>
        </is>
      </c>
      <c r="E176" t="inlineStr"/>
      <c r="F176" t="inlineStr">
        <is>
          <t>[조간브리핑] LG의 마지막 꿈, ‘롤러블폰’ 제작한다…시장에 내놓을 계획은 없어</t>
        </is>
      </c>
      <c r="G176" s="2">
        <f>HYPERLINK("https://biz.sbs.co.kr/article_hub/20000016453", "Go to Website")</f>
        <v/>
      </c>
      <c r="H176" t="inlineStr"/>
      <c r="I176" t="inlineStr">
        <is>
          <t>K64</t>
        </is>
      </c>
      <c r="J176" s="3" t="n">
        <v>0.931</v>
      </c>
      <c r="K176" t="inlineStr">
        <is>
          <t>금융업</t>
        </is>
      </c>
      <c r="L176" t="inlineStr">
        <is>
          <t>1</t>
        </is>
      </c>
      <c r="M176" s="3" t="n">
        <v>0.655</v>
      </c>
      <c r="N176" t="inlineStr">
        <is>
          <t>긍정</t>
        </is>
      </c>
    </row>
    <row r="177">
      <c r="A177" s="1" t="inlineStr">
        <is>
          <t>2021-05-24</t>
        </is>
      </c>
      <c r="B177" t="inlineStr">
        <is>
          <t>news</t>
        </is>
      </c>
      <c r="C177" t="inlineStr">
        <is>
          <t>economy</t>
        </is>
      </c>
      <c r="D177" t="inlineStr">
        <is>
          <t>SBS Biz</t>
        </is>
      </c>
      <c r="E177" t="inlineStr"/>
      <c r="F177" t="inlineStr">
        <is>
          <t>[글로벌 비즈] 테슬라, 독일에 이어 러시아에 생산공장 추가 설립 검토</t>
        </is>
      </c>
      <c r="G177" s="2">
        <f>HYPERLINK("https://biz.sbs.co.kr/article_hub/20000016458", "Go to Website")</f>
        <v/>
      </c>
      <c r="H177" t="inlineStr"/>
      <c r="I177" t="inlineStr">
        <is>
          <t>100</t>
        </is>
      </c>
      <c r="J177" s="3" t="n">
        <v>0.536</v>
      </c>
      <c r="K177" t="inlineStr">
        <is>
          <t>분류 제외, 기타</t>
        </is>
      </c>
      <c r="L177" t="inlineStr"/>
      <c r="M177" t="inlineStr"/>
      <c r="N177" t="inlineStr"/>
    </row>
    <row r="178">
      <c r="A178" s="1" t="inlineStr">
        <is>
          <t>2021-05-24</t>
        </is>
      </c>
      <c r="B178" t="inlineStr">
        <is>
          <t>news</t>
        </is>
      </c>
      <c r="C178" t="inlineStr">
        <is>
          <t>economy</t>
        </is>
      </c>
      <c r="D178" t="inlineStr">
        <is>
          <t>국민일보</t>
        </is>
      </c>
      <c r="E178" t="inlineStr"/>
      <c r="F178" t="inlineStr">
        <is>
          <t>전기안전공사, 전기차 사용후 배터리 재가공 사업장 실태점검</t>
        </is>
      </c>
      <c r="G178" s="2">
        <f>HYPERLINK("http://news.kmib.co.kr/article/view.asp?arcid=0015874423&amp;code=61141411", "Go to Website")</f>
        <v/>
      </c>
      <c r="H178" t="inlineStr"/>
      <c r="I178" t="inlineStr">
        <is>
          <t>100</t>
        </is>
      </c>
      <c r="J178" s="3" t="n">
        <v>1</v>
      </c>
      <c r="K178" t="inlineStr">
        <is>
          <t>분류 제외, 기타</t>
        </is>
      </c>
      <c r="L178" t="inlineStr"/>
      <c r="M178" t="inlineStr"/>
      <c r="N178" t="inlineStr"/>
    </row>
    <row r="179">
      <c r="A179" s="1" t="inlineStr">
        <is>
          <t>2021-05-24</t>
        </is>
      </c>
      <c r="B179" t="inlineStr">
        <is>
          <t>news</t>
        </is>
      </c>
      <c r="C179" t="inlineStr">
        <is>
          <t>economy</t>
        </is>
      </c>
      <c r="D179" t="inlineStr">
        <is>
          <t>부산일보</t>
        </is>
      </c>
      <c r="E179" t="inlineStr">
        <is>
          <t>송현수</t>
        </is>
      </c>
      <c r="F179" t="inlineStr">
        <is>
          <t>전기안전공사, 전기차 사용후 배터리 재가공 사업장 실태점검</t>
        </is>
      </c>
      <c r="G179" s="2">
        <f>HYPERLINK("http://www.busan.com/view/busan/view.php?code=2021052407394639123", "Go to Website")</f>
        <v/>
      </c>
      <c r="H179" t="inlineStr"/>
      <c r="I179" t="inlineStr">
        <is>
          <t>100</t>
        </is>
      </c>
      <c r="J179" s="3" t="n">
        <v>0.996</v>
      </c>
      <c r="K179" t="inlineStr">
        <is>
          <t>분류 제외, 기타</t>
        </is>
      </c>
      <c r="L179" t="inlineStr"/>
      <c r="M179" t="inlineStr"/>
      <c r="N179" t="inlineStr"/>
    </row>
    <row r="180">
      <c r="A180" s="1" t="inlineStr">
        <is>
          <t>2021-05-24</t>
        </is>
      </c>
      <c r="B180" t="inlineStr">
        <is>
          <t>news</t>
        </is>
      </c>
      <c r="C180" t="inlineStr">
        <is>
          <t>economy</t>
        </is>
      </c>
      <c r="D180" t="inlineStr">
        <is>
          <t>더팩트</t>
        </is>
      </c>
      <c r="E180" t="inlineStr"/>
      <c r="F180" t="inlineStr">
        <is>
          <t>美 재계 두루 만난 최태원, 첫 경제외교 무대부터 '광폭 행보'</t>
        </is>
      </c>
      <c r="G180" s="2">
        <f>HYPERLINK("http://news.tf.co.kr/read/economy/1862865.htm", "Go to Website")</f>
        <v/>
      </c>
      <c r="H180" t="inlineStr"/>
      <c r="I180" t="inlineStr">
        <is>
          <t>C14</t>
        </is>
      </c>
      <c r="J180" s="3" t="n">
        <v>0.42</v>
      </c>
      <c r="K180" t="inlineStr">
        <is>
          <t>의복, 의복 액세서리 및 모피제품 제조업</t>
        </is>
      </c>
      <c r="L180" t="inlineStr">
        <is>
          <t>0</t>
        </is>
      </c>
      <c r="M180" s="3" t="n">
        <v>1</v>
      </c>
      <c r="N180" t="inlineStr">
        <is>
          <t>중립</t>
        </is>
      </c>
    </row>
    <row r="181">
      <c r="A181" s="1" t="inlineStr">
        <is>
          <t>2021-05-24</t>
        </is>
      </c>
      <c r="B181" t="inlineStr">
        <is>
          <t>news</t>
        </is>
      </c>
      <c r="C181" t="inlineStr">
        <is>
          <t>economy</t>
        </is>
      </c>
      <c r="D181" t="inlineStr">
        <is>
          <t>한경비즈니스</t>
        </is>
      </c>
      <c r="E181" t="inlineStr">
        <is>
          <t>유호승</t>
        </is>
      </c>
      <c r="F181" t="inlineStr">
        <is>
          <t>“전기차로 새 역사 쓴다”…미국 시장 2위 노리는 현대차</t>
        </is>
      </c>
      <c r="G181" s="2">
        <f>HYPERLINK("https://magazine.hankyung.com/business/article/202105202559b", "Go to Website")</f>
        <v/>
      </c>
      <c r="H181" t="inlineStr"/>
      <c r="I181" t="inlineStr">
        <is>
          <t>C30</t>
        </is>
      </c>
      <c r="J181" s="3" t="n">
        <v>0.9350000000000001</v>
      </c>
      <c r="K181" t="inlineStr">
        <is>
          <t>자동차 및 트레일러 제조업</t>
        </is>
      </c>
      <c r="L181" t="inlineStr">
        <is>
          <t>1</t>
        </is>
      </c>
      <c r="M181" s="3" t="n">
        <v>0.959</v>
      </c>
      <c r="N181" t="inlineStr">
        <is>
          <t>긍정</t>
        </is>
      </c>
    </row>
    <row r="182">
      <c r="A182" s="1" t="inlineStr">
        <is>
          <t>2021-05-24</t>
        </is>
      </c>
      <c r="B182" t="inlineStr">
        <is>
          <t>news</t>
        </is>
      </c>
      <c r="C182" t="inlineStr">
        <is>
          <t>economy</t>
        </is>
      </c>
      <c r="D182" t="inlineStr">
        <is>
          <t>한경비즈니스</t>
        </is>
      </c>
      <c r="E182" t="inlineStr"/>
      <c r="F182" t="inlineStr">
        <is>
          <t>LG, ‘초거대 AI’ 개발에 1억 달러 투자</t>
        </is>
      </c>
      <c r="G182" s="2">
        <f>HYPERLINK("https://magazine.hankyung.com/business/article/202105203497b", "Go to Website")</f>
        <v/>
      </c>
      <c r="H182" t="inlineStr"/>
      <c r="I182" t="inlineStr">
        <is>
          <t>K64</t>
        </is>
      </c>
      <c r="J182" s="3" t="n">
        <v>0.607</v>
      </c>
      <c r="K182" t="inlineStr">
        <is>
          <t>금융업</t>
        </is>
      </c>
      <c r="L182" t="inlineStr">
        <is>
          <t>1</t>
        </is>
      </c>
      <c r="M182" s="3" t="n">
        <v>0.705</v>
      </c>
      <c r="N182" t="inlineStr">
        <is>
          <t>긍정</t>
        </is>
      </c>
    </row>
    <row r="183">
      <c r="A183" s="1" t="inlineStr">
        <is>
          <t>2021-05-24</t>
        </is>
      </c>
      <c r="B183" t="inlineStr">
        <is>
          <t>news</t>
        </is>
      </c>
      <c r="C183" t="inlineStr">
        <is>
          <t>economy</t>
        </is>
      </c>
      <c r="D183" t="inlineStr">
        <is>
          <t>한국경제TV</t>
        </is>
      </c>
      <c r="E183" t="inlineStr"/>
      <c r="F183" t="inlineStr">
        <is>
          <t>베트남 빈그룹, 올해 매출 목표 170조동...전년비 54%↑ [KVINA]</t>
        </is>
      </c>
      <c r="G183" s="2">
        <f>HYPERLINK("http://www.wowtv.co.kr/NewsCenter/News/Read?articleId=A202105240006&amp;t=NN", "Go to Website")</f>
        <v/>
      </c>
      <c r="H183" t="inlineStr"/>
      <c r="I183" t="inlineStr">
        <is>
          <t>K64</t>
        </is>
      </c>
      <c r="J183" s="3" t="n">
        <v>0.996</v>
      </c>
      <c r="K183" t="inlineStr">
        <is>
          <t>금융업</t>
        </is>
      </c>
      <c r="L183" t="inlineStr"/>
      <c r="M183" t="inlineStr"/>
      <c r="N183" t="inlineStr"/>
    </row>
    <row r="184">
      <c r="A184" s="1" t="inlineStr">
        <is>
          <t>2021-05-24</t>
        </is>
      </c>
      <c r="B184" t="inlineStr">
        <is>
          <t>news</t>
        </is>
      </c>
      <c r="C184" t="inlineStr">
        <is>
          <t>economy</t>
        </is>
      </c>
      <c r="D184" t="inlineStr">
        <is>
          <t>머니S</t>
        </is>
      </c>
      <c r="E184" t="inlineStr">
        <is>
          <t>권가림</t>
        </is>
      </c>
      <c r="F184" t="inlineStr">
        <is>
          <t>전기차 운행 늘자 '배터리 안전 특허' 선점 경쟁 치열… 2010년 21건→ 2019년 166건</t>
        </is>
      </c>
      <c r="G184" s="2">
        <f>HYPERLINK("http://moneys.mt.co.kr/news/mwView.php?no=2021052316578059573", "Go to Website")</f>
        <v/>
      </c>
      <c r="H184" t="inlineStr"/>
      <c r="I184" t="inlineStr">
        <is>
          <t>C30</t>
        </is>
      </c>
      <c r="J184" s="3" t="n">
        <v>0.281</v>
      </c>
      <c r="K184" t="inlineStr">
        <is>
          <t>자동차 및 트레일러 제조업</t>
        </is>
      </c>
      <c r="L184" t="inlineStr"/>
      <c r="M184" t="inlineStr"/>
      <c r="N184" t="inlineStr"/>
    </row>
    <row r="185">
      <c r="A185" s="1" t="inlineStr">
        <is>
          <t>2021-05-24</t>
        </is>
      </c>
      <c r="B185" t="inlineStr">
        <is>
          <t>news</t>
        </is>
      </c>
      <c r="C185" t="inlineStr">
        <is>
          <t>economy</t>
        </is>
      </c>
      <c r="D185" t="inlineStr">
        <is>
          <t>데일리안</t>
        </is>
      </c>
      <c r="E185" t="inlineStr">
        <is>
          <t>유준상</t>
        </is>
      </c>
      <c r="F185" t="inlineStr">
        <is>
          <t>전기안전공사, 전기차 사용후배터리 재가공 사업장 실태 점검</t>
        </is>
      </c>
      <c r="G185" s="2">
        <f>HYPERLINK("https://www.dailian.co.kr/news/view/993812/", "Go to Website")</f>
        <v/>
      </c>
      <c r="H185" t="inlineStr"/>
      <c r="I185" t="inlineStr">
        <is>
          <t>100</t>
        </is>
      </c>
      <c r="J185" s="3" t="n">
        <v>0.991</v>
      </c>
      <c r="K185" t="inlineStr">
        <is>
          <t>분류 제외, 기타</t>
        </is>
      </c>
      <c r="L185" t="inlineStr"/>
      <c r="M185" t="inlineStr"/>
      <c r="N185" t="inlineStr"/>
    </row>
    <row r="186">
      <c r="A186" s="1" t="inlineStr">
        <is>
          <t>2021-05-24</t>
        </is>
      </c>
      <c r="B186" t="inlineStr">
        <is>
          <t>news</t>
        </is>
      </c>
      <c r="C186" t="inlineStr">
        <is>
          <t>economy</t>
        </is>
      </c>
      <c r="D186" t="inlineStr">
        <is>
          <t>SBS Biz</t>
        </is>
      </c>
      <c r="E186" t="inlineStr">
        <is>
          <t>류선우</t>
        </is>
      </c>
      <c r="F186" t="inlineStr">
        <is>
          <t>삼바, 모더나 위탁 생산…한미 회담 손익 계산서는?</t>
        </is>
      </c>
      <c r="G186" s="2">
        <f>HYPERLINK("https://biz.sbs.co.kr/article_hub/20000016436", "Go to Website")</f>
        <v/>
      </c>
      <c r="H186" t="inlineStr"/>
      <c r="I186" t="inlineStr">
        <is>
          <t>C26</t>
        </is>
      </c>
      <c r="J186" s="3" t="n">
        <v>0.804</v>
      </c>
      <c r="K186" t="inlineStr">
        <is>
          <t>전자 부품, 컴퓨터, 영상, 음향 및 통신장비 제조업</t>
        </is>
      </c>
      <c r="L186" t="inlineStr"/>
      <c r="M186" t="inlineStr"/>
      <c r="N186" t="inlineStr"/>
    </row>
    <row r="187">
      <c r="A187" s="1" t="inlineStr">
        <is>
          <t>2021-05-24</t>
        </is>
      </c>
      <c r="B187" t="inlineStr">
        <is>
          <t>news</t>
        </is>
      </c>
      <c r="C187" t="inlineStr">
        <is>
          <t>economy</t>
        </is>
      </c>
      <c r="D187" t="inlineStr">
        <is>
          <t>한국경제TV</t>
        </is>
      </c>
      <c r="E187" t="inlineStr">
        <is>
          <t>권예림</t>
        </is>
      </c>
      <c r="F187" t="inlineStr">
        <is>
          <t>뉴욕증시, 가상화폐 변동성·물가지표 주목 [출근전 꼭 글로벌브리핑]</t>
        </is>
      </c>
      <c r="G187" s="2">
        <f>HYPERLINK("http://www.wowtv.co.kr/NewsCenter/News/Read?articleId=A202105240021&amp;t=NN", "Go to Website")</f>
        <v/>
      </c>
      <c r="H187" t="inlineStr"/>
      <c r="I187" t="inlineStr">
        <is>
          <t>100</t>
        </is>
      </c>
      <c r="J187" s="3" t="n">
        <v>0.969</v>
      </c>
      <c r="K187" t="inlineStr">
        <is>
          <t>분류 제외, 기타</t>
        </is>
      </c>
      <c r="L187" t="inlineStr"/>
      <c r="M187" t="inlineStr"/>
      <c r="N187" t="inlineStr"/>
    </row>
    <row r="188">
      <c r="A188" s="1" t="inlineStr">
        <is>
          <t>2021-05-24</t>
        </is>
      </c>
      <c r="B188" t="inlineStr">
        <is>
          <t>news</t>
        </is>
      </c>
      <c r="C188" t="inlineStr">
        <is>
          <t>economy</t>
        </is>
      </c>
      <c r="D188" t="inlineStr">
        <is>
          <t>매일신문</t>
        </is>
      </c>
      <c r="E188" t="inlineStr">
        <is>
          <t>박승혁</t>
        </is>
      </c>
      <c r="F188" t="inlineStr">
        <is>
          <t>포스코, 호주 니켈 광산회사 지분 30% 2억4천만달러에 인수…이차전지 사업 탄력</t>
        </is>
      </c>
      <c r="G188" s="2">
        <f>HYPERLINK("https://news.imaeil.com/Economy/2021052015123698689", "Go to Website")</f>
        <v/>
      </c>
      <c r="H188" t="inlineStr"/>
      <c r="I188" t="inlineStr">
        <is>
          <t>C24</t>
        </is>
      </c>
      <c r="J188" s="3" t="n">
        <v>1</v>
      </c>
      <c r="K188" t="inlineStr">
        <is>
          <t>1차 금속 제조업</t>
        </is>
      </c>
      <c r="L188" t="inlineStr">
        <is>
          <t>1</t>
        </is>
      </c>
      <c r="M188" s="3" t="n">
        <v>0.5679999999999999</v>
      </c>
      <c r="N188" t="inlineStr">
        <is>
          <t>긍정</t>
        </is>
      </c>
    </row>
    <row r="189">
      <c r="A189" s="1" t="inlineStr">
        <is>
          <t>2021-05-24</t>
        </is>
      </c>
      <c r="B189" t="inlineStr">
        <is>
          <t>news</t>
        </is>
      </c>
      <c r="C189" t="inlineStr">
        <is>
          <t>economy</t>
        </is>
      </c>
      <c r="D189" t="inlineStr">
        <is>
          <t>SBS Biz</t>
        </is>
      </c>
      <c r="E189" t="inlineStr">
        <is>
          <t>김성훈</t>
        </is>
      </c>
      <c r="F189" t="inlineStr">
        <is>
          <t>문 대통령, 방미 마치고 귀국…양국 경제 동맹 확장</t>
        </is>
      </c>
      <c r="G189" s="2">
        <f>HYPERLINK("https://biz.sbs.co.kr/article_hub/20000016435", "Go to Website")</f>
        <v/>
      </c>
      <c r="H189" t="inlineStr"/>
      <c r="I189" t="inlineStr">
        <is>
          <t>C21</t>
        </is>
      </c>
      <c r="J189" s="3" t="n">
        <v>0.866</v>
      </c>
      <c r="K189" t="inlineStr">
        <is>
          <t>의료용 물질 및 의약품 제조업</t>
        </is>
      </c>
      <c r="L189" t="inlineStr"/>
      <c r="M189" t="inlineStr"/>
      <c r="N189" t="inlineStr"/>
    </row>
    <row r="190">
      <c r="A190" s="1" t="inlineStr">
        <is>
          <t>2021-05-24</t>
        </is>
      </c>
      <c r="B190" t="inlineStr">
        <is>
          <t>news</t>
        </is>
      </c>
      <c r="C190" t="inlineStr">
        <is>
          <t>economy</t>
        </is>
      </c>
      <c r="D190" t="inlineStr">
        <is>
          <t>뉴스1</t>
        </is>
      </c>
      <c r="E190" t="inlineStr">
        <is>
          <t>강은성</t>
        </is>
      </c>
      <c r="F190" t="inlineStr">
        <is>
          <t>이베스트 윤지호 센터장 "굳이 三電? 차라리 현대차…가치주가 답"</t>
        </is>
      </c>
      <c r="G190" s="2">
        <f>HYPERLINK("https://www.news1.kr/articles/?4311557", "Go to Website")</f>
        <v/>
      </c>
      <c r="H190" t="inlineStr"/>
      <c r="I190" t="inlineStr">
        <is>
          <t>L68</t>
        </is>
      </c>
      <c r="J190" s="3" t="n">
        <v>0.52</v>
      </c>
      <c r="K190" t="inlineStr">
        <is>
          <t>부동산업</t>
        </is>
      </c>
      <c r="L190" t="inlineStr">
        <is>
          <t>0</t>
        </is>
      </c>
      <c r="M190" s="3" t="n">
        <v>1</v>
      </c>
      <c r="N190" t="inlineStr">
        <is>
          <t>중립</t>
        </is>
      </c>
    </row>
    <row r="191">
      <c r="A191" s="1" t="inlineStr">
        <is>
          <t>2021-05-24</t>
        </is>
      </c>
      <c r="B191" t="inlineStr">
        <is>
          <t>news</t>
        </is>
      </c>
      <c r="C191" t="inlineStr">
        <is>
          <t>economy</t>
        </is>
      </c>
      <c r="D191" t="inlineStr">
        <is>
          <t>뉴스1</t>
        </is>
      </c>
      <c r="E191" t="inlineStr">
        <is>
          <t>정은지</t>
        </is>
      </c>
      <c r="F191" t="inlineStr">
        <is>
          <t>'44조 대미 보따리' 반도체·車·배터리株 모멘텀될까…삼바도 '주목'</t>
        </is>
      </c>
      <c r="G191" s="2">
        <f>HYPERLINK("https://www.news1.kr/articles/?4314842", "Go to Website")</f>
        <v/>
      </c>
      <c r="H191" t="inlineStr"/>
      <c r="I191" t="inlineStr">
        <is>
          <t>100</t>
        </is>
      </c>
      <c r="J191" s="3" t="n">
        <v>0.741</v>
      </c>
      <c r="K191" t="inlineStr">
        <is>
          <t>분류 제외, 기타</t>
        </is>
      </c>
      <c r="L191" t="inlineStr"/>
      <c r="M191" t="inlineStr"/>
      <c r="N191" t="inlineStr"/>
    </row>
    <row r="192">
      <c r="A192" s="1" t="inlineStr">
        <is>
          <t>2021-05-24</t>
        </is>
      </c>
      <c r="B192" t="inlineStr">
        <is>
          <t>news</t>
        </is>
      </c>
      <c r="C192" t="inlineStr">
        <is>
          <t>economy</t>
        </is>
      </c>
      <c r="D192" t="inlineStr">
        <is>
          <t>데일리안</t>
        </is>
      </c>
      <c r="E192" t="inlineStr">
        <is>
          <t>조인영</t>
        </is>
      </c>
      <c r="F192" t="inlineStr">
        <is>
          <t>현대차·기아, '코로나 리스크' 털었다…평균 가동률 90% 넘어</t>
        </is>
      </c>
      <c r="G192" s="2">
        <f>HYPERLINK("https://www.dailian.co.kr/news/view/993443/", "Go to Website")</f>
        <v/>
      </c>
      <c r="H192" t="inlineStr"/>
      <c r="I192" t="inlineStr">
        <is>
          <t>C30</t>
        </is>
      </c>
      <c r="J192" s="3" t="n">
        <v>0.994</v>
      </c>
      <c r="K192" t="inlineStr">
        <is>
          <t>자동차 및 트레일러 제조업</t>
        </is>
      </c>
      <c r="L192" t="inlineStr"/>
      <c r="M192" t="inlineStr"/>
      <c r="N192" t="inlineStr"/>
    </row>
    <row r="193">
      <c r="A193" s="1" t="inlineStr">
        <is>
          <t>2021-05-24</t>
        </is>
      </c>
      <c r="B193" t="inlineStr">
        <is>
          <t>news</t>
        </is>
      </c>
      <c r="C193" t="inlineStr">
        <is>
          <t>economy</t>
        </is>
      </c>
      <c r="D193" t="inlineStr">
        <is>
          <t>머니투데이</t>
        </is>
      </c>
      <c r="E193" t="inlineStr">
        <is>
          <t>이강준</t>
        </is>
      </c>
      <c r="F193" t="inlineStr">
        <is>
          <t>"테슬라·벤츠도 따라올걸"..아이오닉 5 만든 캠핑덕후 자신감(上)</t>
        </is>
      </c>
      <c r="G193" s="2">
        <f>HYPERLINK("http://news.mt.co.kr/mtview.php?no=2021052310514268584", "Go to Website")</f>
        <v/>
      </c>
      <c r="H193" t="inlineStr"/>
      <c r="I193" t="inlineStr">
        <is>
          <t>J58</t>
        </is>
      </c>
      <c r="J193" s="3" t="n">
        <v>0.429</v>
      </c>
      <c r="K193" t="inlineStr">
        <is>
          <t>출판업</t>
        </is>
      </c>
      <c r="L193" t="inlineStr">
        <is>
          <t>0</t>
        </is>
      </c>
      <c r="M193" s="3" t="n">
        <v>0.919</v>
      </c>
      <c r="N193" t="inlineStr">
        <is>
          <t>중립</t>
        </is>
      </c>
    </row>
    <row r="194">
      <c r="A194" s="1" t="inlineStr">
        <is>
          <t>2021-05-24</t>
        </is>
      </c>
      <c r="B194" t="inlineStr">
        <is>
          <t>news</t>
        </is>
      </c>
      <c r="C194" t="inlineStr">
        <is>
          <t>economy</t>
        </is>
      </c>
      <c r="D194" t="inlineStr">
        <is>
          <t>머니S</t>
        </is>
      </c>
      <c r="E194" t="inlineStr">
        <is>
          <t>이지운</t>
        </is>
      </c>
      <c r="F194" t="inlineStr">
        <is>
          <t>[금(金)튜브가 떴다] 미래에셋증권, 박현주 회장부터 슈퍼주니어까지… '소통 UP'</t>
        </is>
      </c>
      <c r="G194" s="2">
        <f>HYPERLINK("http://moneys.mt.co.kr/news/mwView.php?no=2021052117238017694", "Go to Website")</f>
        <v/>
      </c>
      <c r="H194" t="inlineStr"/>
      <c r="I194" t="inlineStr">
        <is>
          <t>100</t>
        </is>
      </c>
      <c r="J194" s="3" t="n">
        <v>0.647</v>
      </c>
      <c r="K194" t="inlineStr">
        <is>
          <t>분류 제외, 기타</t>
        </is>
      </c>
      <c r="L194" t="inlineStr">
        <is>
          <t>0</t>
        </is>
      </c>
      <c r="M194" s="3" t="n">
        <v>1</v>
      </c>
      <c r="N194" t="inlineStr">
        <is>
          <t>중립</t>
        </is>
      </c>
    </row>
    <row r="195">
      <c r="A195" s="1" t="inlineStr">
        <is>
          <t>2021-05-24</t>
        </is>
      </c>
      <c r="B195" t="inlineStr">
        <is>
          <t>news</t>
        </is>
      </c>
      <c r="C195" t="inlineStr">
        <is>
          <t>economy</t>
        </is>
      </c>
      <c r="D195" t="inlineStr">
        <is>
          <t>머니투데이</t>
        </is>
      </c>
      <c r="E195" t="inlineStr">
        <is>
          <t>최민경</t>
        </is>
      </c>
      <c r="F195" t="inlineStr">
        <is>
          <t>포스코는 다 계획이 있었다…수소 기업 가는 길, '그린뉴딜' 승부수</t>
        </is>
      </c>
      <c r="G195" s="2">
        <f>HYPERLINK("http://news.mt.co.kr/mtview.php?no=2021052313394651152", "Go to Website")</f>
        <v/>
      </c>
      <c r="H195" t="inlineStr"/>
      <c r="I195" t="inlineStr">
        <is>
          <t>N76</t>
        </is>
      </c>
      <c r="J195" s="3" t="n">
        <v>0.679</v>
      </c>
      <c r="K195" t="inlineStr">
        <is>
          <t>임대업; 부동산 제외</t>
        </is>
      </c>
      <c r="L195" t="inlineStr">
        <is>
          <t>0</t>
        </is>
      </c>
      <c r="M195" s="3" t="n">
        <v>0.895</v>
      </c>
      <c r="N195" t="inlineStr">
        <is>
          <t>중립</t>
        </is>
      </c>
    </row>
    <row r="196">
      <c r="A196" s="1" t="inlineStr">
        <is>
          <t>2021-05-24</t>
        </is>
      </c>
      <c r="B196" t="inlineStr">
        <is>
          <t>news</t>
        </is>
      </c>
      <c r="C196" t="inlineStr">
        <is>
          <t>economy</t>
        </is>
      </c>
      <c r="D196" t="inlineStr">
        <is>
          <t>노컷뉴스</t>
        </is>
      </c>
      <c r="E196" t="inlineStr">
        <is>
          <t>김연지</t>
        </is>
      </c>
      <c r="F196" t="inlineStr">
        <is>
          <t>[영상]한미 정상회담, 안보동맹에서 기술동맹으로</t>
        </is>
      </c>
      <c r="G196" s="2">
        <f>HYPERLINK("https://www.nocutnews.co.kr/news/5557260", "Go to Website")</f>
        <v/>
      </c>
      <c r="H196" t="inlineStr"/>
      <c r="I196" t="inlineStr">
        <is>
          <t>K64</t>
        </is>
      </c>
      <c r="J196" s="3" t="n">
        <v>0.786</v>
      </c>
      <c r="K196" t="inlineStr">
        <is>
          <t>금융업</t>
        </is>
      </c>
      <c r="L196" t="inlineStr"/>
      <c r="M196" t="inlineStr"/>
      <c r="N196" t="inlineStr"/>
    </row>
    <row r="197">
      <c r="A197" s="1" t="inlineStr">
        <is>
          <t>2021-05-24</t>
        </is>
      </c>
      <c r="B197" t="inlineStr">
        <is>
          <t>news</t>
        </is>
      </c>
      <c r="C197" t="inlineStr">
        <is>
          <t>economy</t>
        </is>
      </c>
      <c r="D197" t="inlineStr">
        <is>
          <t>머니투데이</t>
        </is>
      </c>
      <c r="E197" t="inlineStr">
        <is>
          <t>오문영</t>
        </is>
      </c>
      <c r="F197" t="inlineStr">
        <is>
          <t>삼성·현대차·SK·LG 44조 선물에 美바이든 '땡큐' 외쳤지만..</t>
        </is>
      </c>
      <c r="G197" s="2">
        <f>HYPERLINK("http://news.mt.co.kr/mtview.php?no=2021052318003733265", "Go to Website")</f>
        <v/>
      </c>
      <c r="H197" t="inlineStr"/>
      <c r="I197" t="inlineStr">
        <is>
          <t>100</t>
        </is>
      </c>
      <c r="J197" s="3" t="n">
        <v>0.377</v>
      </c>
      <c r="K197" t="inlineStr">
        <is>
          <t>분류 제외, 기타</t>
        </is>
      </c>
      <c r="L197" t="inlineStr"/>
      <c r="M197" t="inlineStr"/>
      <c r="N197" t="inlineStr"/>
    </row>
    <row r="198">
      <c r="A198" s="1" t="inlineStr">
        <is>
          <t>2021-05-24</t>
        </is>
      </c>
      <c r="B198" t="inlineStr">
        <is>
          <t>news</t>
        </is>
      </c>
      <c r="C198" t="inlineStr">
        <is>
          <t>economy</t>
        </is>
      </c>
      <c r="D198" t="inlineStr">
        <is>
          <t>서울신문</t>
        </is>
      </c>
      <c r="E198" t="inlineStr">
        <is>
          <t>이영준</t>
        </is>
      </c>
      <c r="F198" t="inlineStr">
        <is>
          <t>“반도체·배터리 투자 확대”… ‘경제외교’ 이끈 최태원</t>
        </is>
      </c>
      <c r="G198" s="2">
        <f>HYPERLINK("https://www.seoul.co.kr/news/newsView.php?id=20210524021011", "Go to Website")</f>
        <v/>
      </c>
      <c r="H198" t="inlineStr"/>
      <c r="I198" t="inlineStr">
        <is>
          <t>K64</t>
        </is>
      </c>
      <c r="J198" s="3" t="n">
        <v>0.994</v>
      </c>
      <c r="K198" t="inlineStr">
        <is>
          <t>금융업</t>
        </is>
      </c>
      <c r="L198" t="inlineStr"/>
      <c r="M198" t="inlineStr"/>
      <c r="N198" t="inlineStr"/>
    </row>
    <row r="199">
      <c r="A199" s="1" t="inlineStr">
        <is>
          <t>2021-05-24</t>
        </is>
      </c>
      <c r="B199" t="inlineStr">
        <is>
          <t>news</t>
        </is>
      </c>
      <c r="C199" t="inlineStr">
        <is>
          <t>economy</t>
        </is>
      </c>
      <c r="D199" t="inlineStr">
        <is>
          <t>한겨레</t>
        </is>
      </c>
      <c r="E199" t="inlineStr">
        <is>
          <t>박종오</t>
        </is>
      </c>
      <c r="F199" t="inlineStr">
        <is>
          <t>분쟁 끝낸 LG, SK 미국서 배터리 진검승부…최후의 승자는?</t>
        </is>
      </c>
      <c r="G199" s="2">
        <f>HYPERLINK("http://www.hani.co.kr/arti/economy/marketing/996334.html", "Go to Website")</f>
        <v/>
      </c>
      <c r="H199" t="inlineStr"/>
      <c r="I199" t="inlineStr">
        <is>
          <t>C30</t>
        </is>
      </c>
      <c r="J199" s="3" t="n">
        <v>0.502</v>
      </c>
      <c r="K199" t="inlineStr">
        <is>
          <t>자동차 및 트레일러 제조업</t>
        </is>
      </c>
      <c r="L199" t="inlineStr"/>
      <c r="M199" t="inlineStr"/>
      <c r="N199" t="inlineStr"/>
    </row>
    <row r="200">
      <c r="A200" s="1" t="inlineStr">
        <is>
          <t>2021-05-24</t>
        </is>
      </c>
      <c r="B200" t="inlineStr">
        <is>
          <t>news</t>
        </is>
      </c>
      <c r="C200" t="inlineStr">
        <is>
          <t>tech</t>
        </is>
      </c>
      <c r="D200" t="inlineStr">
        <is>
          <t>중앙일보</t>
        </is>
      </c>
      <c r="E200" t="inlineStr">
        <is>
          <t>박수련</t>
        </is>
      </c>
      <c r="F200" t="inlineStr">
        <is>
          <t>[팩플] 은퇴한 전설의 투자가 불러낸 기후테크···美산불이 판 키웠다</t>
        </is>
      </c>
      <c r="G200" s="2">
        <f>HYPERLINK("https://news.joins.com/article/olink/23659316", "Go to Website")</f>
        <v/>
      </c>
      <c r="H200" t="inlineStr"/>
      <c r="I200" t="inlineStr"/>
      <c r="J200" t="inlineStr"/>
      <c r="K200" t="inlineStr"/>
      <c r="L200" t="inlineStr"/>
      <c r="M200" t="inlineStr"/>
      <c r="N200" t="inlineStr"/>
    </row>
    <row r="201">
      <c r="A201" s="1" t="inlineStr">
        <is>
          <t>2021-05-24</t>
        </is>
      </c>
      <c r="B201" t="inlineStr">
        <is>
          <t>news</t>
        </is>
      </c>
      <c r="C201" t="inlineStr">
        <is>
          <t>economy</t>
        </is>
      </c>
      <c r="D201" t="inlineStr">
        <is>
          <t>머니투데이</t>
        </is>
      </c>
      <c r="E201" t="inlineStr">
        <is>
          <t>정인지</t>
        </is>
      </c>
      <c r="F201" t="inlineStr">
        <is>
          <t>개미 사로잡을 액티브 ETF 첫 출격..운용사 '수익률 승부'</t>
        </is>
      </c>
      <c r="G201" s="2">
        <f>HYPERLINK("http://news.mt.co.kr/mtview.php?no=2021052323423379178", "Go to Website")</f>
        <v/>
      </c>
      <c r="H201" t="inlineStr"/>
      <c r="I201" t="inlineStr">
        <is>
          <t>K64</t>
        </is>
      </c>
      <c r="J201" s="3" t="n">
        <v>0.945</v>
      </c>
      <c r="K201" t="inlineStr">
        <is>
          <t>금융업</t>
        </is>
      </c>
      <c r="L201" t="inlineStr"/>
      <c r="M201" t="inlineStr"/>
      <c r="N201" t="inlineStr"/>
    </row>
    <row r="202">
      <c r="A202" s="1" t="inlineStr">
        <is>
          <t>2021-05-24</t>
        </is>
      </c>
      <c r="B202" t="inlineStr">
        <is>
          <t>news</t>
        </is>
      </c>
      <c r="C202" t="inlineStr">
        <is>
          <t>economy</t>
        </is>
      </c>
      <c r="D202" t="inlineStr">
        <is>
          <t>국민일보</t>
        </is>
      </c>
      <c r="E202" t="inlineStr">
        <is>
          <t>김지애</t>
        </is>
      </c>
      <c r="F202" t="inlineStr">
        <is>
          <t>최태원, 경제외교 무대서 동분서주 “ESG 경영 중요”</t>
        </is>
      </c>
      <c r="G202" s="2">
        <f>HYPERLINK("http://news.kmib.co.kr/article/view.asp?arcid=0924192843&amp;code=11151400", "Go to Website")</f>
        <v/>
      </c>
      <c r="H202" t="inlineStr"/>
      <c r="I202" t="inlineStr">
        <is>
          <t>100</t>
        </is>
      </c>
      <c r="J202" s="3" t="n">
        <v>0.999</v>
      </c>
      <c r="K202" t="inlineStr">
        <is>
          <t>분류 제외, 기타</t>
        </is>
      </c>
      <c r="L202" t="inlineStr"/>
      <c r="M202" t="inlineStr"/>
      <c r="N202" t="inlineStr"/>
    </row>
    <row r="203">
      <c r="A203" s="1" t="inlineStr">
        <is>
          <t>2021-05-24</t>
        </is>
      </c>
      <c r="B203" t="inlineStr">
        <is>
          <t>news</t>
        </is>
      </c>
      <c r="C203" t="inlineStr">
        <is>
          <t>economy</t>
        </is>
      </c>
      <c r="D203" t="inlineStr">
        <is>
          <t>국민일보</t>
        </is>
      </c>
      <c r="E203" t="inlineStr">
        <is>
          <t>김준엽</t>
        </is>
      </c>
      <c r="F203" t="inlineStr">
        <is>
          <t>44조원 통 큰 투자하는데… 미국, 백신 협력 외 ‘+α’ 있나</t>
        </is>
      </c>
      <c r="G203" s="2">
        <f>HYPERLINK("http://news.kmib.co.kr/article/view.asp?arcid=0924192857&amp;code=11151400", "Go to Website")</f>
        <v/>
      </c>
      <c r="H203" t="inlineStr"/>
      <c r="I203" t="inlineStr">
        <is>
          <t>100</t>
        </is>
      </c>
      <c r="J203" s="3" t="n">
        <v>0.631</v>
      </c>
      <c r="K203" t="inlineStr">
        <is>
          <t>분류 제외, 기타</t>
        </is>
      </c>
      <c r="L203" t="inlineStr"/>
      <c r="M203" t="inlineStr"/>
      <c r="N203" t="inlineStr"/>
    </row>
    <row r="204">
      <c r="A204" s="1" t="inlineStr">
        <is>
          <t>2021-05-24</t>
        </is>
      </c>
      <c r="B204" t="inlineStr">
        <is>
          <t>news</t>
        </is>
      </c>
      <c r="C204" t="inlineStr">
        <is>
          <t>economy</t>
        </is>
      </c>
      <c r="D204" t="inlineStr">
        <is>
          <t>동아일보</t>
        </is>
      </c>
      <c r="E204" t="inlineStr">
        <is>
          <t>서형석</t>
        </is>
      </c>
      <c r="F204" t="inlineStr">
        <is>
          <t>한국GM, 전기차 ‘볼트EV’ 380여대 롯데푸드에 공급</t>
        </is>
      </c>
      <c r="G204" s="2">
        <f>HYPERLINK("https://www.donga.com/news/article/all/20210524/107074615/1", "Go to Website")</f>
        <v/>
      </c>
      <c r="H204" t="inlineStr"/>
      <c r="I204" t="inlineStr">
        <is>
          <t>M71</t>
        </is>
      </c>
      <c r="J204" s="3" t="n">
        <v>0.569</v>
      </c>
      <c r="K204" t="inlineStr">
        <is>
          <t>전문 서비스업</t>
        </is>
      </c>
      <c r="L204" t="inlineStr">
        <is>
          <t>1</t>
        </is>
      </c>
      <c r="M204" s="3" t="n">
        <v>0.85</v>
      </c>
      <c r="N204" t="inlineStr">
        <is>
          <t>긍정</t>
        </is>
      </c>
    </row>
    <row r="205">
      <c r="A205" s="1" t="inlineStr">
        <is>
          <t>2021-05-24</t>
        </is>
      </c>
      <c r="B205" t="inlineStr">
        <is>
          <t>news</t>
        </is>
      </c>
      <c r="C205" t="inlineStr">
        <is>
          <t>economy</t>
        </is>
      </c>
      <c r="D205" t="inlineStr">
        <is>
          <t>조선일보</t>
        </is>
      </c>
      <c r="E205" t="inlineStr">
        <is>
          <t>송혜진</t>
        </is>
      </c>
      <c r="F205" t="inlineStr">
        <is>
          <t>최태원 상의회장, 美장관·경제단체장과 연쇄회동</t>
        </is>
      </c>
      <c r="G205" s="2">
        <f>HYPERLINK("https://www.chosun.com/economy/industry-company/2021/05/24/S4YOAI5WSRBHDDRXRJBTSAVW6Q/?utm_medium=referral&amp;utm_campaign=naver-news", "Go to Website")</f>
        <v/>
      </c>
      <c r="H205" t="inlineStr"/>
      <c r="I205" t="inlineStr">
        <is>
          <t>C14</t>
        </is>
      </c>
      <c r="J205" s="3" t="n">
        <v>0.717</v>
      </c>
      <c r="K205" t="inlineStr">
        <is>
          <t>의복, 의복 액세서리 및 모피제품 제조업</t>
        </is>
      </c>
      <c r="L205" t="inlineStr"/>
      <c r="M205" t="inlineStr"/>
      <c r="N205" t="inlineStr"/>
    </row>
    <row r="206">
      <c r="A206" s="1" t="inlineStr">
        <is>
          <t>2021-05-24</t>
        </is>
      </c>
      <c r="B206" t="inlineStr">
        <is>
          <t>news</t>
        </is>
      </c>
      <c r="C206" t="inlineStr">
        <is>
          <t>economy</t>
        </is>
      </c>
      <c r="D206" t="inlineStr">
        <is>
          <t>동아일보</t>
        </is>
      </c>
      <c r="E206" t="inlineStr">
        <is>
          <t>서형석</t>
        </is>
      </c>
      <c r="F206" t="inlineStr">
        <is>
          <t>두산重, 폐배터리 리튬 친환경 추출법 개발</t>
        </is>
      </c>
      <c r="G206" s="2">
        <f>HYPERLINK("https://www.donga.com/news/article/all/20210524/107074591/1", "Go to Website")</f>
        <v/>
      </c>
      <c r="H206" t="inlineStr"/>
      <c r="I206" t="inlineStr">
        <is>
          <t>C20</t>
        </is>
      </c>
      <c r="J206" s="3" t="n">
        <v>0.925</v>
      </c>
      <c r="K206" t="inlineStr">
        <is>
          <t>화학 물질 및 화학제품 제조업; 의약품 제외</t>
        </is>
      </c>
      <c r="L206" t="inlineStr">
        <is>
          <t>1</t>
        </is>
      </c>
      <c r="M206" s="3" t="n">
        <v>0.834</v>
      </c>
      <c r="N206" t="inlineStr">
        <is>
          <t>긍정</t>
        </is>
      </c>
    </row>
    <row r="207">
      <c r="A207" s="1" t="inlineStr">
        <is>
          <t>2021-05-24</t>
        </is>
      </c>
      <c r="B207" t="inlineStr">
        <is>
          <t>news</t>
        </is>
      </c>
      <c r="C207" t="inlineStr">
        <is>
          <t>economy</t>
        </is>
      </c>
      <c r="D207" t="inlineStr">
        <is>
          <t>동아일보</t>
        </is>
      </c>
      <c r="E207" t="inlineStr">
        <is>
          <t>서동일</t>
        </is>
      </c>
      <c r="F207" t="inlineStr">
        <is>
          <t>‘상의 회장’ 최태원, 美서 첫 경제외교… “반도체 등 투자 확대”</t>
        </is>
      </c>
      <c r="G207" s="2">
        <f>HYPERLINK("https://www.donga.com/news/article/all/20210524/107074720/1", "Go to Website")</f>
        <v/>
      </c>
      <c r="H207" t="inlineStr"/>
      <c r="I207" t="inlineStr">
        <is>
          <t>K64</t>
        </is>
      </c>
      <c r="J207" s="3" t="n">
        <v>0.989</v>
      </c>
      <c r="K207" t="inlineStr">
        <is>
          <t>금융업</t>
        </is>
      </c>
      <c r="L207" t="inlineStr"/>
      <c r="M207" t="inlineStr"/>
      <c r="N207" t="inlineStr"/>
    </row>
    <row r="208">
      <c r="A208" s="1" t="inlineStr">
        <is>
          <t>2021-05-24</t>
        </is>
      </c>
      <c r="B208" t="inlineStr">
        <is>
          <t>news</t>
        </is>
      </c>
      <c r="C208" t="inlineStr">
        <is>
          <t>tech</t>
        </is>
      </c>
      <c r="D208" t="inlineStr">
        <is>
          <t>조선일보</t>
        </is>
      </c>
      <c r="E208" t="inlineStr">
        <is>
          <t>박건형</t>
        </is>
      </c>
      <c r="F208" t="inlineStr">
        <is>
          <t>바이든, 삼성·현대·SK·LG 일일이 불러 일으켜 “생큐 생큐 생큐”</t>
        </is>
      </c>
      <c r="G208" s="2">
        <f>HYPERLINK("https://www.chosun.com/economy/tech_it/2021/05/24/PUIPOSFPV5ERHJD3LVEZA7KX7M/?utm_medium=referral&amp;utm_campaign=naver-news", "Go to Website")</f>
        <v/>
      </c>
      <c r="H208" t="inlineStr"/>
      <c r="I208" t="inlineStr"/>
      <c r="J208" t="inlineStr"/>
      <c r="K208" t="inlineStr"/>
      <c r="L208" t="inlineStr"/>
      <c r="M208" t="inlineStr"/>
      <c r="N208" t="inlineStr"/>
    </row>
    <row r="209">
      <c r="A209" s="1" t="inlineStr">
        <is>
          <t>2021-05-24</t>
        </is>
      </c>
      <c r="B209" t="inlineStr">
        <is>
          <t>news</t>
        </is>
      </c>
      <c r="C209" t="inlineStr">
        <is>
          <t>economy</t>
        </is>
      </c>
      <c r="D209" t="inlineStr">
        <is>
          <t>동아일보</t>
        </is>
      </c>
      <c r="E209" t="inlineStr">
        <is>
          <t>구특교</t>
        </is>
      </c>
      <c r="F209" t="inlineStr">
        <is>
          <t>바이든 “생큐 생큐 생큐”… 삼성 현대차 SK LG 美투자에 거듭 감사</t>
        </is>
      </c>
      <c r="G209" s="2">
        <f>HYPERLINK("https://www.donga.com/news/article/all/20210524/107075564/1", "Go to Website")</f>
        <v/>
      </c>
      <c r="H209" t="inlineStr"/>
      <c r="I209" t="inlineStr">
        <is>
          <t>C10</t>
        </is>
      </c>
      <c r="J209" s="3" t="n">
        <v>0.548</v>
      </c>
      <c r="K209" t="inlineStr">
        <is>
          <t>식료품 제조업</t>
        </is>
      </c>
      <c r="L209" t="inlineStr"/>
      <c r="M209" t="inlineStr"/>
      <c r="N209" t="inlineStr"/>
    </row>
    <row r="210">
      <c r="A210" s="1" t="inlineStr">
        <is>
          <t>2021-05-24</t>
        </is>
      </c>
      <c r="B210" t="inlineStr">
        <is>
          <t>news</t>
        </is>
      </c>
      <c r="C210" t="inlineStr">
        <is>
          <t>economy</t>
        </is>
      </c>
      <c r="D210" t="inlineStr">
        <is>
          <t>강원일보</t>
        </is>
      </c>
      <c r="E210" t="inlineStr">
        <is>
          <t>최기영</t>
        </is>
      </c>
      <c r="F210" t="inlineStr">
        <is>
          <t>횡성 생산 화물전기차 '포트로' 전국 공공기관 조달 가능</t>
        </is>
      </c>
      <c r="G210" s="2">
        <f>HYPERLINK("http://www.kwnews.co.kr/nview.asp?aid=221052300144", "Go to Website")</f>
        <v/>
      </c>
      <c r="H210" t="inlineStr"/>
      <c r="I210" t="inlineStr">
        <is>
          <t>H49</t>
        </is>
      </c>
      <c r="J210" s="3" t="n">
        <v>0.964</v>
      </c>
      <c r="K210" t="inlineStr">
        <is>
          <t>육상 운송 및 파이프라인 운송업</t>
        </is>
      </c>
      <c r="L210" t="inlineStr"/>
      <c r="M210" t="inlineStr"/>
      <c r="N210" t="inlineStr"/>
    </row>
    <row r="211">
      <c r="A211" s="1" t="inlineStr">
        <is>
          <t>2021-05-24</t>
        </is>
      </c>
      <c r="B211" t="inlineStr">
        <is>
          <t>news</t>
        </is>
      </c>
      <c r="C211" t="inlineStr">
        <is>
          <t>economy</t>
        </is>
      </c>
      <c r="D211" t="inlineStr">
        <is>
          <t>아시아경제</t>
        </is>
      </c>
      <c r="E211" t="inlineStr">
        <is>
          <t>이기민</t>
        </is>
      </c>
      <c r="F211" t="inlineStr">
        <is>
          <t>보조금 떨어져도·혜택 없어도 '각광'…수입 럭셔리 전기차도 온다</t>
        </is>
      </c>
      <c r="G211" s="2">
        <f>HYPERLINK("https://view.asiae.co.kr/article/2021052400265591826", "Go to Website")</f>
        <v/>
      </c>
      <c r="H211" t="inlineStr"/>
      <c r="I211" t="inlineStr">
        <is>
          <t>C28</t>
        </is>
      </c>
      <c r="J211" s="3" t="n">
        <v>0.668</v>
      </c>
      <c r="K211" t="inlineStr">
        <is>
          <t>전기장비 제조업</t>
        </is>
      </c>
      <c r="L211" t="inlineStr"/>
      <c r="M211" t="inlineStr"/>
      <c r="N211" t="inlineStr"/>
    </row>
    <row r="212">
      <c r="A212" s="1" t="inlineStr">
        <is>
          <t>2021-05-24</t>
        </is>
      </c>
      <c r="B212" t="inlineStr">
        <is>
          <t>news</t>
        </is>
      </c>
      <c r="C212" t="inlineStr">
        <is>
          <t>economy</t>
        </is>
      </c>
      <c r="D212" t="inlineStr">
        <is>
          <t>중앙일보</t>
        </is>
      </c>
      <c r="E212" t="inlineStr">
        <is>
          <t>김영민</t>
        </is>
      </c>
      <c r="F212" t="inlineStr">
        <is>
          <t>보조금 안 받아도 자신만만…억대 수퍼 전기차 몰려온다</t>
        </is>
      </c>
      <c r="G212" s="2">
        <f>HYPERLINK("https://news.joins.com/article/olink/23659295", "Go to Website")</f>
        <v/>
      </c>
      <c r="H212" t="inlineStr"/>
      <c r="I212" t="inlineStr">
        <is>
          <t>C30</t>
        </is>
      </c>
      <c r="J212" s="3" t="n">
        <v>0.579</v>
      </c>
      <c r="K212" t="inlineStr">
        <is>
          <t>자동차 및 트레일러 제조업</t>
        </is>
      </c>
      <c r="L212" t="inlineStr">
        <is>
          <t>0</t>
        </is>
      </c>
      <c r="M212" s="3" t="n">
        <v>0.971</v>
      </c>
      <c r="N212" t="inlineStr">
        <is>
          <t>중립</t>
        </is>
      </c>
    </row>
    <row r="213">
      <c r="A213" s="1" t="inlineStr">
        <is>
          <t>2021-05-24</t>
        </is>
      </c>
      <c r="B213" t="inlineStr">
        <is>
          <t>news</t>
        </is>
      </c>
      <c r="C213" t="inlineStr">
        <is>
          <t>economy</t>
        </is>
      </c>
      <c r="D213" t="inlineStr">
        <is>
          <t>중앙일보</t>
        </is>
      </c>
      <c r="E213" t="inlineStr">
        <is>
          <t>안효성</t>
        </is>
      </c>
      <c r="F213" t="inlineStr">
        <is>
          <t>“날마다 쇼크”…코인 관련주도 벼락거지 비상</t>
        </is>
      </c>
      <c r="G213" s="2">
        <f>HYPERLINK("https://news.joins.com/article/olink/23659290", "Go to Website")</f>
        <v/>
      </c>
      <c r="H213" t="inlineStr"/>
      <c r="I213" t="inlineStr">
        <is>
          <t>C26</t>
        </is>
      </c>
      <c r="J213" s="3" t="n">
        <v>0.502</v>
      </c>
      <c r="K213" t="inlineStr">
        <is>
          <t>전자 부품, 컴퓨터, 영상, 음향 및 통신장비 제조업</t>
        </is>
      </c>
      <c r="L213" t="inlineStr"/>
      <c r="M213" t="inlineStr"/>
      <c r="N213" t="inlineStr"/>
    </row>
    <row r="214">
      <c r="A214" s="1" t="inlineStr">
        <is>
          <t>2021-05-24</t>
        </is>
      </c>
      <c r="B214" t="inlineStr">
        <is>
          <t>news</t>
        </is>
      </c>
      <c r="C214" t="inlineStr">
        <is>
          <t>economy</t>
        </is>
      </c>
      <c r="D214" t="inlineStr">
        <is>
          <t>중앙일보</t>
        </is>
      </c>
      <c r="E214" t="inlineStr">
        <is>
          <t>김영주</t>
        </is>
      </c>
      <c r="F214" t="inlineStr">
        <is>
          <t>전기차배터리·완성차업체 더 끈끈해진다</t>
        </is>
      </c>
      <c r="G214" s="2">
        <f>HYPERLINK("https://news.joins.com/article/olink/23659257", "Go to Website")</f>
        <v/>
      </c>
      <c r="H214" t="inlineStr"/>
      <c r="I214" t="inlineStr">
        <is>
          <t>C30</t>
        </is>
      </c>
      <c r="J214" s="3" t="n">
        <v>0.5659999999999999</v>
      </c>
      <c r="K214" t="inlineStr">
        <is>
          <t>자동차 및 트레일러 제조업</t>
        </is>
      </c>
      <c r="L214" t="inlineStr"/>
      <c r="M214" t="inlineStr"/>
      <c r="N214" t="inlineStr"/>
    </row>
    <row r="215">
      <c r="A215" s="1" t="inlineStr">
        <is>
          <t>2021-05-24</t>
        </is>
      </c>
      <c r="B215" t="inlineStr">
        <is>
          <t>news</t>
        </is>
      </c>
      <c r="C215" t="inlineStr">
        <is>
          <t>economy</t>
        </is>
      </c>
      <c r="D215" t="inlineStr">
        <is>
          <t>중앙일보</t>
        </is>
      </c>
      <c r="E215" t="inlineStr">
        <is>
          <t>최선욱</t>
        </is>
      </c>
      <c r="F215" t="inlineStr">
        <is>
          <t>민간기업 44조 ‘투자 외교’로 한·미 동맹 떠받쳤다</t>
        </is>
      </c>
      <c r="G215" s="2">
        <f>HYPERLINK("https://news.joins.com/article/olink/23659251", "Go to Website")</f>
        <v/>
      </c>
      <c r="H215" t="inlineStr"/>
      <c r="I215" t="inlineStr">
        <is>
          <t>A01</t>
        </is>
      </c>
      <c r="J215" s="3" t="n">
        <v>0.157</v>
      </c>
      <c r="K215" t="inlineStr">
        <is>
          <t>농업</t>
        </is>
      </c>
      <c r="L215" t="inlineStr"/>
      <c r="M215" t="inlineStr"/>
      <c r="N215" t="inlineStr"/>
    </row>
    <row r="216">
      <c r="A216" s="1" t="inlineStr">
        <is>
          <t>2021-05-23</t>
        </is>
      </c>
      <c r="B216" t="inlineStr">
        <is>
          <t>news</t>
        </is>
      </c>
      <c r="C216" t="inlineStr">
        <is>
          <t>tech</t>
        </is>
      </c>
      <c r="D216" t="inlineStr">
        <is>
          <t>디지털데일리</t>
        </is>
      </c>
      <c r="E216" t="inlineStr"/>
      <c r="F216" t="inlineStr">
        <is>
          <t>[DD 주간브리핑]  네이버가 공개할 '초대규모 AI'는 과연 어떤 모습일까?</t>
        </is>
      </c>
      <c r="G216" s="2">
        <f>HYPERLINK("http://www.ddaily.co.kr/news/article.html?no=214687", "Go to Website")</f>
        <v/>
      </c>
      <c r="H216" t="inlineStr"/>
      <c r="I216" t="inlineStr"/>
      <c r="J216" t="inlineStr"/>
      <c r="K216" t="inlineStr"/>
      <c r="L216" t="inlineStr"/>
      <c r="M216" t="inlineStr"/>
      <c r="N216" t="inlineStr"/>
    </row>
    <row r="217">
      <c r="A217" s="1" t="inlineStr">
        <is>
          <t>2021-05-23</t>
        </is>
      </c>
      <c r="B217" t="inlineStr">
        <is>
          <t>news</t>
        </is>
      </c>
      <c r="C217" t="inlineStr">
        <is>
          <t>economy</t>
        </is>
      </c>
      <c r="D217" t="inlineStr">
        <is>
          <t>뉴시스</t>
        </is>
      </c>
      <c r="E217" t="inlineStr">
        <is>
          <t>박주연</t>
        </is>
      </c>
      <c r="F217" t="inlineStr">
        <is>
          <t>한미 공급망협력 '속도'…반도체·배터리 등 44兆 투자·美 인센티브(종합)</t>
        </is>
      </c>
      <c r="G217" s="2">
        <f>HYPERLINK("http://www.newsis.com/view/?id=NISX20210523_0001450107&amp;cID=13001&amp;pID=13000", "Go to Website")</f>
        <v/>
      </c>
      <c r="H217" t="inlineStr"/>
      <c r="I217" t="inlineStr">
        <is>
          <t>C28</t>
        </is>
      </c>
      <c r="J217" s="3" t="n">
        <v>0.649</v>
      </c>
      <c r="K217" t="inlineStr">
        <is>
          <t>전기장비 제조업</t>
        </is>
      </c>
      <c r="L217" t="inlineStr"/>
      <c r="M217" t="inlineStr"/>
      <c r="N217" t="inlineStr"/>
    </row>
    <row r="218">
      <c r="A218" s="1" t="inlineStr">
        <is>
          <t>2021-05-23</t>
        </is>
      </c>
      <c r="B218" t="inlineStr">
        <is>
          <t>news</t>
        </is>
      </c>
      <c r="C218" t="inlineStr">
        <is>
          <t>economy</t>
        </is>
      </c>
      <c r="D218" t="inlineStr">
        <is>
          <t>YTN</t>
        </is>
      </c>
      <c r="E218" t="inlineStr">
        <is>
          <t>염혜원</t>
        </is>
      </c>
      <c r="F218" t="inlineStr">
        <is>
          <t>반도체·배터리 통 큰 투자..."경제동맹 강화 환영"</t>
        </is>
      </c>
      <c r="G218" s="2">
        <f>HYPERLINK("https://www.ytn.co.kr/_ln/0102_202105232150593748", "Go to Website")</f>
        <v/>
      </c>
      <c r="H218" t="inlineStr"/>
      <c r="I218" t="inlineStr">
        <is>
          <t>K64</t>
        </is>
      </c>
      <c r="J218" s="3" t="n">
        <v>0.945</v>
      </c>
      <c r="K218" t="inlineStr">
        <is>
          <t>금융업</t>
        </is>
      </c>
      <c r="L218" t="inlineStr"/>
      <c r="M218" t="inlineStr"/>
      <c r="N218" t="inlineStr"/>
    </row>
    <row r="219">
      <c r="A219" s="1" t="inlineStr">
        <is>
          <t>2021-05-23</t>
        </is>
      </c>
      <c r="B219" t="inlineStr">
        <is>
          <t>news</t>
        </is>
      </c>
      <c r="C219" t="inlineStr">
        <is>
          <t>economy</t>
        </is>
      </c>
      <c r="D219" t="inlineStr">
        <is>
          <t>경향신문</t>
        </is>
      </c>
      <c r="E219" t="inlineStr">
        <is>
          <t>정환보</t>
        </is>
      </c>
      <c r="F219" t="inlineStr">
        <is>
          <t>경제단체 “안보 넘어 경제동맹” 환영</t>
        </is>
      </c>
      <c r="G219" s="2">
        <f>HYPERLINK("http://news.khan.co.kr/kh_news/khan_art_view.html?artid=202105232112005&amp;code=920100", "Go to Website")</f>
        <v/>
      </c>
      <c r="H219" t="inlineStr"/>
      <c r="I219" t="inlineStr">
        <is>
          <t>Q86</t>
        </is>
      </c>
      <c r="J219" s="3" t="n">
        <v>0.829</v>
      </c>
      <c r="K219" t="inlineStr">
        <is>
          <t>보건업</t>
        </is>
      </c>
      <c r="L219" t="inlineStr"/>
      <c r="M219" t="inlineStr"/>
      <c r="N219" t="inlineStr"/>
    </row>
    <row r="220">
      <c r="A220" s="1" t="inlineStr">
        <is>
          <t>2021-05-23</t>
        </is>
      </c>
      <c r="B220" t="inlineStr">
        <is>
          <t>news</t>
        </is>
      </c>
      <c r="C220" t="inlineStr">
        <is>
          <t>economy</t>
        </is>
      </c>
      <c r="D220" t="inlineStr">
        <is>
          <t>경향신문</t>
        </is>
      </c>
      <c r="E220" t="inlineStr">
        <is>
          <t>조미덥</t>
        </is>
      </c>
      <c r="F220" t="inlineStr">
        <is>
          <t>반도체·전기차에 44조원 푼 4대 기업…미국과 ‘윈윈’ 전략</t>
        </is>
      </c>
      <c r="G220" s="2">
        <f>HYPERLINK("http://news.khan.co.kr/kh_news/khan_art_view.html?artid=202105232112025&amp;code=920501", "Go to Website")</f>
        <v/>
      </c>
      <c r="H220" t="inlineStr"/>
      <c r="I220" t="inlineStr">
        <is>
          <t>C26</t>
        </is>
      </c>
      <c r="J220" s="3" t="n">
        <v>0.724</v>
      </c>
      <c r="K220" t="inlineStr">
        <is>
          <t>전자 부품, 컴퓨터, 영상, 음향 및 통신장비 제조업</t>
        </is>
      </c>
      <c r="L220" t="inlineStr"/>
      <c r="M220" t="inlineStr"/>
      <c r="N220" t="inlineStr"/>
    </row>
    <row r="221">
      <c r="A221" s="1" t="inlineStr">
        <is>
          <t>2021-05-23</t>
        </is>
      </c>
      <c r="B221" t="inlineStr">
        <is>
          <t>news</t>
        </is>
      </c>
      <c r="C221" t="inlineStr">
        <is>
          <t>economy</t>
        </is>
      </c>
      <c r="D221" t="inlineStr">
        <is>
          <t>YTN</t>
        </is>
      </c>
      <c r="E221" t="inlineStr">
        <is>
          <t>염혜원</t>
        </is>
      </c>
      <c r="F221" t="inlineStr">
        <is>
          <t>반도체·배터리 통 큰 투자..."경제동맹 강화 환영"</t>
        </is>
      </c>
      <c r="G221" s="2">
        <f>HYPERLINK("https://www.ytn.co.kr/_ln/0102_202105232059540253", "Go to Website")</f>
        <v/>
      </c>
      <c r="H221" t="inlineStr"/>
      <c r="I221" t="inlineStr">
        <is>
          <t>K64</t>
        </is>
      </c>
      <c r="J221" s="3" t="n">
        <v>0.945</v>
      </c>
      <c r="K221" t="inlineStr">
        <is>
          <t>금융업</t>
        </is>
      </c>
      <c r="L221" t="inlineStr"/>
      <c r="M221" t="inlineStr"/>
      <c r="N221" t="inlineStr"/>
    </row>
    <row r="222">
      <c r="A222" s="1" t="inlineStr">
        <is>
          <t>2021-05-23</t>
        </is>
      </c>
      <c r="B222" t="inlineStr">
        <is>
          <t>news</t>
        </is>
      </c>
      <c r="C222" t="inlineStr">
        <is>
          <t>economy</t>
        </is>
      </c>
      <c r="D222" t="inlineStr">
        <is>
          <t>동아일보</t>
        </is>
      </c>
      <c r="E222" t="inlineStr">
        <is>
          <t>김민범</t>
        </is>
      </c>
      <c r="F222" t="inlineStr">
        <is>
          <t>롯데가 선택한 업무용 전기차… 한국GM, 롯데푸드에 ‘볼트EV’ 380대 공급</t>
        </is>
      </c>
      <c r="G222" s="2">
        <f>HYPERLINK("https://www.donga.com/news/article/all/20210523/107073141/2", "Go to Website")</f>
        <v/>
      </c>
      <c r="H222" t="inlineStr"/>
      <c r="I222" t="inlineStr">
        <is>
          <t>100</t>
        </is>
      </c>
      <c r="J222" s="3" t="n">
        <v>0.394</v>
      </c>
      <c r="K222" t="inlineStr">
        <is>
          <t>분류 제외, 기타</t>
        </is>
      </c>
      <c r="L222" t="inlineStr">
        <is>
          <t>1</t>
        </is>
      </c>
      <c r="M222" s="3" t="n">
        <v>0.65</v>
      </c>
      <c r="N222" t="inlineStr">
        <is>
          <t>긍정</t>
        </is>
      </c>
    </row>
    <row r="223">
      <c r="A223" s="1" t="inlineStr">
        <is>
          <t>2021-05-23</t>
        </is>
      </c>
      <c r="B223" t="inlineStr">
        <is>
          <t>news</t>
        </is>
      </c>
      <c r="C223" t="inlineStr">
        <is>
          <t>economy</t>
        </is>
      </c>
      <c r="D223" t="inlineStr">
        <is>
          <t>한국일보</t>
        </is>
      </c>
      <c r="E223" t="inlineStr">
        <is>
          <t>류종은</t>
        </is>
      </c>
      <c r="F223" t="inlineStr">
        <is>
          <t>“생큐” 연발에 대한 미국의 투자 인센티브는… 그러면 중국 협력은?</t>
        </is>
      </c>
      <c r="G223" s="2">
        <f>HYPERLINK("https://hankookilbo.com/News/Read/A2021052310490002418?did=NA", "Go to Website")</f>
        <v/>
      </c>
      <c r="H223" t="inlineStr"/>
      <c r="I223" t="inlineStr">
        <is>
          <t>C17</t>
        </is>
      </c>
      <c r="J223" s="3" t="n">
        <v>0.929</v>
      </c>
      <c r="K223" t="inlineStr">
        <is>
          <t>펄프, 종이 및 종이제품 제조업</t>
        </is>
      </c>
      <c r="L223" t="inlineStr"/>
      <c r="M223" t="inlineStr"/>
      <c r="N223" t="inlineStr"/>
    </row>
    <row r="224">
      <c r="A224" s="1" t="inlineStr">
        <is>
          <t>2021-05-23</t>
        </is>
      </c>
      <c r="B224" t="inlineStr">
        <is>
          <t>news</t>
        </is>
      </c>
      <c r="C224" t="inlineStr">
        <is>
          <t>economy</t>
        </is>
      </c>
      <c r="D224" t="inlineStr">
        <is>
          <t>한국일보</t>
        </is>
      </c>
      <c r="E224" t="inlineStr">
        <is>
          <t>김현우</t>
        </is>
      </c>
      <c r="F224" t="inlineStr">
        <is>
          <t>최태원 회장, 美서 한국 경쟁력 강화 위한 경제외교 펼쳐</t>
        </is>
      </c>
      <c r="G224" s="2">
        <f>HYPERLINK("https://hankookilbo.com/News/Read/A2021052310340001660?did=NA", "Go to Website")</f>
        <v/>
      </c>
      <c r="H224" t="inlineStr"/>
      <c r="I224" t="inlineStr">
        <is>
          <t>Q86</t>
        </is>
      </c>
      <c r="J224" s="3" t="n">
        <v>0.429</v>
      </c>
      <c r="K224" t="inlineStr">
        <is>
          <t>보건업</t>
        </is>
      </c>
      <c r="L224" t="inlineStr">
        <is>
          <t>0</t>
        </is>
      </c>
      <c r="M224" s="3" t="n">
        <v>0.997</v>
      </c>
      <c r="N224" t="inlineStr">
        <is>
          <t>중립</t>
        </is>
      </c>
    </row>
    <row r="225">
      <c r="A225" s="1" t="inlineStr">
        <is>
          <t>2021-05-23</t>
        </is>
      </c>
      <c r="B225" t="inlineStr">
        <is>
          <t>news</t>
        </is>
      </c>
      <c r="C225" t="inlineStr">
        <is>
          <t>economy</t>
        </is>
      </c>
      <c r="D225" t="inlineStr">
        <is>
          <t>세계일보</t>
        </is>
      </c>
      <c r="E225" t="inlineStr">
        <is>
          <t>나기천</t>
        </is>
      </c>
      <c r="F225" t="inlineStr">
        <is>
          <t>美 재계 두루 접촉… 최태원, 첫 경제외교 무대서 ‘광폭행보’</t>
        </is>
      </c>
      <c r="G225" s="2">
        <f>HYPERLINK("http://www.segye.com/content/html/2021/05/23/20210523507583.html", "Go to Website")</f>
        <v/>
      </c>
      <c r="H225" t="inlineStr"/>
      <c r="I225" t="inlineStr">
        <is>
          <t>100</t>
        </is>
      </c>
      <c r="J225" s="3" t="n">
        <v>0.9</v>
      </c>
      <c r="K225" t="inlineStr">
        <is>
          <t>분류 제외, 기타</t>
        </is>
      </c>
      <c r="L225" t="inlineStr"/>
      <c r="M225" t="inlineStr"/>
      <c r="N225" t="inlineStr"/>
    </row>
    <row r="226">
      <c r="A226" s="1" t="inlineStr">
        <is>
          <t>2021-05-23</t>
        </is>
      </c>
      <c r="B226" t="inlineStr">
        <is>
          <t>news</t>
        </is>
      </c>
      <c r="C226" t="inlineStr">
        <is>
          <t>economy</t>
        </is>
      </c>
      <c r="D226" t="inlineStr">
        <is>
          <t>이데일리</t>
        </is>
      </c>
      <c r="E226" t="inlineStr">
        <is>
          <t>김인경</t>
        </is>
      </c>
      <c r="F226" t="inlineStr">
        <is>
          <t>"증시 일시적 조정…반도체·수소전기차 관련주 매력적"</t>
        </is>
      </c>
      <c r="G226" s="2">
        <f>HYPERLINK("http://www.edaily.co.kr/news/newspath.asp?newsid=02069686629051872", "Go to Website")</f>
        <v/>
      </c>
      <c r="H226" t="inlineStr"/>
      <c r="I226" t="inlineStr">
        <is>
          <t>L68</t>
        </is>
      </c>
      <c r="J226" s="3" t="n">
        <v>0.916</v>
      </c>
      <c r="K226" t="inlineStr">
        <is>
          <t>부동산업</t>
        </is>
      </c>
      <c r="L226" t="inlineStr"/>
      <c r="M226" t="inlineStr"/>
      <c r="N226" t="inlineStr"/>
    </row>
    <row r="227">
      <c r="A227" s="1" t="inlineStr">
        <is>
          <t>2021-05-23</t>
        </is>
      </c>
      <c r="B227" t="inlineStr">
        <is>
          <t>news</t>
        </is>
      </c>
      <c r="C227" t="inlineStr">
        <is>
          <t>economy</t>
        </is>
      </c>
      <c r="D227" t="inlineStr">
        <is>
          <t>뉴시스</t>
        </is>
      </c>
      <c r="E227" t="inlineStr">
        <is>
          <t>박주연</t>
        </is>
      </c>
      <c r="F227" t="inlineStr">
        <is>
          <t>종횡무진한 최태원 상의 회장, 美재계에 한국경제 '세일즈'(종합)</t>
        </is>
      </c>
      <c r="G227" s="2">
        <f>HYPERLINK("http://www.newsis.com/view/?id=NISX20210523_0001450072&amp;cID=13001&amp;pID=13000", "Go to Website")</f>
        <v/>
      </c>
      <c r="H227" t="inlineStr"/>
      <c r="I227" t="inlineStr">
        <is>
          <t>100</t>
        </is>
      </c>
      <c r="J227" s="3" t="n">
        <v>0.987</v>
      </c>
      <c r="K227" t="inlineStr">
        <is>
          <t>분류 제외, 기타</t>
        </is>
      </c>
      <c r="L227" t="inlineStr"/>
      <c r="M227" t="inlineStr"/>
      <c r="N227" t="inlineStr"/>
    </row>
    <row r="228">
      <c r="A228" s="1" t="inlineStr">
        <is>
          <t>2021-05-23</t>
        </is>
      </c>
      <c r="B228" t="inlineStr">
        <is>
          <t>news</t>
        </is>
      </c>
      <c r="C228" t="inlineStr">
        <is>
          <t>economy</t>
        </is>
      </c>
      <c r="D228" t="inlineStr">
        <is>
          <t>TV조선</t>
        </is>
      </c>
      <c r="E228" t="inlineStr">
        <is>
          <t>황선영</t>
        </is>
      </c>
      <c r="F228" t="inlineStr">
        <is>
          <t>고급차도 '전기'가 대세…자동차 트렌드 바뀐다</t>
        </is>
      </c>
      <c r="G228" s="2">
        <f>HYPERLINK("http://news.tvchosun.com/site/data/html_dir/2021/05/23/2021052390065.html", "Go to Website")</f>
        <v/>
      </c>
      <c r="H228" t="inlineStr"/>
      <c r="I228" t="inlineStr">
        <is>
          <t>C30</t>
        </is>
      </c>
      <c r="J228" s="3" t="n">
        <v>0.706</v>
      </c>
      <c r="K228" t="inlineStr">
        <is>
          <t>자동차 및 트레일러 제조업</t>
        </is>
      </c>
      <c r="L228" t="inlineStr">
        <is>
          <t>0</t>
        </is>
      </c>
      <c r="M228" s="3" t="n">
        <v>0.739</v>
      </c>
      <c r="N228" t="inlineStr">
        <is>
          <t>중립</t>
        </is>
      </c>
    </row>
    <row r="229">
      <c r="A229" s="1" t="inlineStr">
        <is>
          <t>2021-05-23</t>
        </is>
      </c>
      <c r="B229" t="inlineStr">
        <is>
          <t>news</t>
        </is>
      </c>
      <c r="C229" t="inlineStr">
        <is>
          <t>economy</t>
        </is>
      </c>
      <c r="D229" t="inlineStr">
        <is>
          <t>조선일보</t>
        </is>
      </c>
      <c r="E229" t="inlineStr">
        <is>
          <t>윤진호</t>
        </is>
      </c>
      <c r="F229" t="inlineStr">
        <is>
          <t>1100조원이 사라졌다, 가상화폐 시총 2주일새 42% 증발</t>
        </is>
      </c>
      <c r="G229" s="2">
        <f>HYPERLINK("https://www.chosun.com/economy/stock-finance/2021/05/23/OY4KFP6YYFGLLGWLTNXZHFLQDA/?utm_medium=referral&amp;utm_campaign=naver-news", "Go to Website")</f>
        <v/>
      </c>
      <c r="H229" t="inlineStr"/>
      <c r="I229" t="inlineStr">
        <is>
          <t>K64</t>
        </is>
      </c>
      <c r="J229" s="3" t="n">
        <v>0.601</v>
      </c>
      <c r="K229" t="inlineStr">
        <is>
          <t>금융업</t>
        </is>
      </c>
      <c r="L229" t="inlineStr"/>
      <c r="M229" t="inlineStr"/>
      <c r="N229" t="inlineStr"/>
    </row>
    <row r="230">
      <c r="A230" s="1" t="inlineStr">
        <is>
          <t>2021-05-23</t>
        </is>
      </c>
      <c r="B230" t="inlineStr">
        <is>
          <t>news</t>
        </is>
      </c>
      <c r="C230" t="inlineStr">
        <is>
          <t>economy</t>
        </is>
      </c>
      <c r="D230" t="inlineStr">
        <is>
          <t>부산일보</t>
        </is>
      </c>
      <c r="E230" t="inlineStr">
        <is>
          <t>김영한</t>
        </is>
      </c>
      <c r="F230" t="inlineStr">
        <is>
          <t>화승그룹, 핵심 소재 발판 ‘미래 먹거리’ 발굴 나서</t>
        </is>
      </c>
      <c r="G230" s="2">
        <f>HYPERLINK("http://www.busan.com/view/busan/view.php?code=2021052318575984581", "Go to Website")</f>
        <v/>
      </c>
      <c r="H230" t="inlineStr"/>
      <c r="I230" t="inlineStr">
        <is>
          <t>C20</t>
        </is>
      </c>
      <c r="J230" s="3" t="n">
        <v>0.994</v>
      </c>
      <c r="K230" t="inlineStr">
        <is>
          <t>화학 물질 및 화학제품 제조업; 의약품 제외</t>
        </is>
      </c>
      <c r="L230" t="inlineStr">
        <is>
          <t>0</t>
        </is>
      </c>
      <c r="M230" s="3" t="n">
        <v>0.533</v>
      </c>
      <c r="N230" t="inlineStr">
        <is>
          <t>중립</t>
        </is>
      </c>
    </row>
    <row r="231">
      <c r="A231" s="1" t="inlineStr">
        <is>
          <t>2021-05-23</t>
        </is>
      </c>
      <c r="B231" t="inlineStr">
        <is>
          <t>news</t>
        </is>
      </c>
      <c r="C231" t="inlineStr">
        <is>
          <t>economy</t>
        </is>
      </c>
      <c r="D231" t="inlineStr">
        <is>
          <t>매일신문</t>
        </is>
      </c>
      <c r="E231" t="inlineStr">
        <is>
          <t>채원영</t>
        </is>
      </c>
      <c r="F231" t="inlineStr">
        <is>
          <t>경제단체 “미국과 경제협력 강화로 지역경제 활성화 기대”</t>
        </is>
      </c>
      <c r="G231" s="2">
        <f>HYPERLINK("https://news.imaeil.com/Economy/2021052317551043722", "Go to Website")</f>
        <v/>
      </c>
      <c r="H231" t="inlineStr"/>
      <c r="I231" t="inlineStr">
        <is>
          <t>100</t>
        </is>
      </c>
      <c r="J231" s="3" t="n">
        <v>0.999</v>
      </c>
      <c r="K231" t="inlineStr">
        <is>
          <t>분류 제외, 기타</t>
        </is>
      </c>
      <c r="L231" t="inlineStr"/>
      <c r="M231" t="inlineStr"/>
      <c r="N231" t="inlineStr"/>
    </row>
    <row r="232">
      <c r="A232" s="1" t="inlineStr">
        <is>
          <t>2021-05-23</t>
        </is>
      </c>
      <c r="B232" t="inlineStr">
        <is>
          <t>news</t>
        </is>
      </c>
      <c r="C232" t="inlineStr">
        <is>
          <t>economy</t>
        </is>
      </c>
      <c r="D232" t="inlineStr">
        <is>
          <t>매일신문</t>
        </is>
      </c>
      <c r="E232" t="inlineStr">
        <is>
          <t>채원영</t>
        </is>
      </c>
      <c r="F232" t="inlineStr">
        <is>
          <t>삼성·LG·SK 등 미국에 44조원 투자, 대구경북 대미 수출에도 훈풍 부나</t>
        </is>
      </c>
      <c r="G232" s="2">
        <f>HYPERLINK("https://news.imaeil.com/Economy/2021052317350108634", "Go to Website")</f>
        <v/>
      </c>
      <c r="H232" t="inlineStr"/>
      <c r="I232" t="inlineStr">
        <is>
          <t>100</t>
        </is>
      </c>
      <c r="J232" s="3" t="n">
        <v>0.996</v>
      </c>
      <c r="K232" t="inlineStr">
        <is>
          <t>분류 제외, 기타</t>
        </is>
      </c>
      <c r="L232" t="inlineStr"/>
      <c r="M232" t="inlineStr"/>
      <c r="N232" t="inlineStr"/>
    </row>
    <row r="233">
      <c r="A233" s="1" t="inlineStr">
        <is>
          <t>2021-05-23</t>
        </is>
      </c>
      <c r="B233" t="inlineStr">
        <is>
          <t>news</t>
        </is>
      </c>
      <c r="C233" t="inlineStr">
        <is>
          <t>economy</t>
        </is>
      </c>
      <c r="D233" t="inlineStr">
        <is>
          <t>서울경제</t>
        </is>
      </c>
      <c r="E233" t="inlineStr">
        <is>
          <t>한재영</t>
        </is>
      </c>
      <c r="F233" t="inlineStr">
        <is>
          <t>결국 기업들이 '1등공신'···바이든 "400억弗 투자 생큐"</t>
        </is>
      </c>
      <c r="G233" s="2">
        <f>HYPERLINK("https://www.sedaily.com/NewsView/22MH1CI88N", "Go to Website")</f>
        <v/>
      </c>
      <c r="H233" t="inlineStr"/>
      <c r="I233" t="inlineStr">
        <is>
          <t>100</t>
        </is>
      </c>
      <c r="J233" s="3" t="n">
        <v>0.471</v>
      </c>
      <c r="K233" t="inlineStr">
        <is>
          <t>분류 제외, 기타</t>
        </is>
      </c>
      <c r="L233" t="inlineStr"/>
      <c r="M233" t="inlineStr"/>
      <c r="N233" t="inlineStr"/>
    </row>
    <row r="234">
      <c r="A234" s="1" t="inlineStr">
        <is>
          <t>2021-05-23</t>
        </is>
      </c>
      <c r="B234" t="inlineStr">
        <is>
          <t>news</t>
        </is>
      </c>
      <c r="C234" t="inlineStr">
        <is>
          <t>economy</t>
        </is>
      </c>
      <c r="D234" t="inlineStr">
        <is>
          <t>서울경제</t>
        </is>
      </c>
      <c r="E234" t="inlineStr">
        <is>
          <t>한재영</t>
        </is>
      </c>
      <c r="F234" t="inlineStr">
        <is>
          <t>'안보→밸류체인 동맹' 확장···바이든 약세 지역에 집중 투자</t>
        </is>
      </c>
      <c r="G234" s="2">
        <f>HYPERLINK("https://www.sedaily.com/NewsView/22MH1H86WZ", "Go to Website")</f>
        <v/>
      </c>
      <c r="H234" t="inlineStr"/>
      <c r="I234" t="inlineStr">
        <is>
          <t>C12</t>
        </is>
      </c>
      <c r="J234" s="3" t="n">
        <v>0.626</v>
      </c>
      <c r="K234" t="inlineStr">
        <is>
          <t>담배 제조업</t>
        </is>
      </c>
      <c r="L234" t="inlineStr"/>
      <c r="M234" t="inlineStr"/>
      <c r="N234" t="inlineStr"/>
    </row>
    <row r="235">
      <c r="A235" s="1" t="inlineStr">
        <is>
          <t>2021-05-23</t>
        </is>
      </c>
      <c r="B235" t="inlineStr">
        <is>
          <t>news</t>
        </is>
      </c>
      <c r="C235" t="inlineStr">
        <is>
          <t>tech</t>
        </is>
      </c>
      <c r="D235" t="inlineStr">
        <is>
          <t>서울경제</t>
        </is>
      </c>
      <c r="E235" t="inlineStr">
        <is>
          <t>정혜진</t>
        </is>
      </c>
      <c r="F235" t="inlineStr">
        <is>
          <t>"수소특성화大 설립해 인재 키우고, 원천기술 기업에 이전을"</t>
        </is>
      </c>
      <c r="G235" s="2">
        <f>HYPERLINK("https://www.sedaily.com/NewsView/22MH1NSG6T", "Go to Website")</f>
        <v/>
      </c>
      <c r="H235" t="inlineStr"/>
      <c r="I235" t="inlineStr"/>
      <c r="J235" t="inlineStr"/>
      <c r="K235" t="inlineStr"/>
      <c r="L235" t="inlineStr"/>
      <c r="M235" t="inlineStr"/>
      <c r="N235" t="inlineStr"/>
    </row>
    <row r="236">
      <c r="A236" s="1" t="inlineStr">
        <is>
          <t>2021-05-23</t>
        </is>
      </c>
      <c r="B236" t="inlineStr">
        <is>
          <t>news</t>
        </is>
      </c>
      <c r="C236" t="inlineStr">
        <is>
          <t>economy</t>
        </is>
      </c>
      <c r="D236" t="inlineStr">
        <is>
          <t>파이낸셜뉴스</t>
        </is>
      </c>
      <c r="E236" t="inlineStr">
        <is>
          <t>이진혁</t>
        </is>
      </c>
      <c r="F236" t="inlineStr">
        <is>
          <t>車반도체 등 공급망 확대 손잡는다… 한·미 경제동맹 '진화' [한·미 정상회담  대미투자 44조]</t>
        </is>
      </c>
      <c r="G236" s="2">
        <f>HYPERLINK("http://www.fnnews.com/news/202105231808411158", "Go to Website")</f>
        <v/>
      </c>
      <c r="H236" t="inlineStr"/>
      <c r="I236" t="inlineStr">
        <is>
          <t>100</t>
        </is>
      </c>
      <c r="J236" s="3" t="n">
        <v>0.469</v>
      </c>
      <c r="K236" t="inlineStr">
        <is>
          <t>분류 제외, 기타</t>
        </is>
      </c>
      <c r="L236" t="inlineStr"/>
      <c r="M236" t="inlineStr"/>
      <c r="N236" t="inlineStr"/>
    </row>
    <row r="237">
      <c r="A237" s="1" t="inlineStr">
        <is>
          <t>2021-05-23</t>
        </is>
      </c>
      <c r="B237" t="inlineStr">
        <is>
          <t>news</t>
        </is>
      </c>
      <c r="C237" t="inlineStr">
        <is>
          <t>economy</t>
        </is>
      </c>
      <c r="D237" t="inlineStr">
        <is>
          <t>파이낸셜뉴스</t>
        </is>
      </c>
      <c r="E237" t="inlineStr">
        <is>
          <t>안태호</t>
        </is>
      </c>
      <c r="F237" t="inlineStr">
        <is>
          <t>K-배터리 빅2도 '역대급 투자'… 소재기업들 美 동반진출 '발판' [한·미 정상회담  대미투자 44조]</t>
        </is>
      </c>
      <c r="G237" s="2">
        <f>HYPERLINK("http://www.fnnews.com/news/202105231808495110", "Go to Website")</f>
        <v/>
      </c>
      <c r="H237" t="inlineStr"/>
      <c r="I237" t="inlineStr">
        <is>
          <t>C20</t>
        </is>
      </c>
      <c r="J237" s="3" t="n">
        <v>0.973</v>
      </c>
      <c r="K237" t="inlineStr">
        <is>
          <t>화학 물질 및 화학제품 제조업; 의약품 제외</t>
        </is>
      </c>
      <c r="L237" t="inlineStr"/>
      <c r="M237" t="inlineStr"/>
      <c r="N237" t="inlineStr"/>
    </row>
    <row r="238">
      <c r="A238" s="1" t="inlineStr">
        <is>
          <t>2021-05-23</t>
        </is>
      </c>
      <c r="B238" t="inlineStr">
        <is>
          <t>news</t>
        </is>
      </c>
      <c r="C238" t="inlineStr">
        <is>
          <t>economy</t>
        </is>
      </c>
      <c r="D238" t="inlineStr">
        <is>
          <t>서울경제</t>
        </is>
      </c>
      <c r="E238" t="inlineStr">
        <is>
          <t>변수연</t>
        </is>
      </c>
      <c r="F238" t="inlineStr">
        <is>
          <t>삼성, 美서 TSMC와 한판 승부···LG·SK, 15조 배터리 투자</t>
        </is>
      </c>
      <c r="G238" s="2">
        <f>HYPERLINK("https://www.sedaily.com/NewsView/22MH23G1GH", "Go to Website")</f>
        <v/>
      </c>
      <c r="H238" t="inlineStr"/>
      <c r="I238" t="inlineStr">
        <is>
          <t>C26</t>
        </is>
      </c>
      <c r="J238" s="3" t="n">
        <v>0.897</v>
      </c>
      <c r="K238" t="inlineStr">
        <is>
          <t>전자 부품, 컴퓨터, 영상, 음향 및 통신장비 제조업</t>
        </is>
      </c>
      <c r="L238" t="inlineStr"/>
      <c r="M238" t="inlineStr"/>
      <c r="N238" t="inlineStr"/>
    </row>
    <row r="239">
      <c r="A239" s="1" t="inlineStr">
        <is>
          <t>2021-05-23</t>
        </is>
      </c>
      <c r="B239" t="inlineStr">
        <is>
          <t>news</t>
        </is>
      </c>
      <c r="C239" t="inlineStr">
        <is>
          <t>economy</t>
        </is>
      </c>
      <c r="D239" t="inlineStr">
        <is>
          <t>한국경제</t>
        </is>
      </c>
      <c r="E239" t="inlineStr">
        <is>
          <t>도병욱</t>
        </is>
      </c>
      <c r="F239" t="inlineStr">
        <is>
          <t>美네트워크 총동원 '韓 세일즈'…최태원, 경제외교 성공 데뷔전</t>
        </is>
      </c>
      <c r="G239" s="2">
        <f>HYPERLINK("https://www.hankyung.com/economy/article/2021052399431", "Go to Website")</f>
        <v/>
      </c>
      <c r="H239" t="inlineStr"/>
      <c r="I239" t="inlineStr">
        <is>
          <t>100</t>
        </is>
      </c>
      <c r="J239" s="3" t="n">
        <v>1</v>
      </c>
      <c r="K239" t="inlineStr">
        <is>
          <t>분류 제외, 기타</t>
        </is>
      </c>
      <c r="L239" t="inlineStr"/>
      <c r="M239" t="inlineStr"/>
      <c r="N239" t="inlineStr"/>
    </row>
    <row r="240">
      <c r="A240" s="1" t="inlineStr">
        <is>
          <t>2021-05-23</t>
        </is>
      </c>
      <c r="B240" t="inlineStr">
        <is>
          <t>news</t>
        </is>
      </c>
      <c r="C240" t="inlineStr">
        <is>
          <t>economy</t>
        </is>
      </c>
      <c r="D240" t="inlineStr">
        <is>
          <t>한국경제</t>
        </is>
      </c>
      <c r="E240" t="inlineStr">
        <is>
          <t>도병욱</t>
        </is>
      </c>
      <c r="F240" t="inlineStr">
        <is>
          <t>한국GM 전기차 타는 롯데푸드</t>
        </is>
      </c>
      <c r="G240" s="2">
        <f>HYPERLINK("https://www.hankyung.com/economy/article/2021052399451", "Go to Website")</f>
        <v/>
      </c>
      <c r="H240" t="inlineStr"/>
      <c r="I240" t="inlineStr">
        <is>
          <t>M71</t>
        </is>
      </c>
      <c r="J240" s="3" t="n">
        <v>0.886</v>
      </c>
      <c r="K240" t="inlineStr">
        <is>
          <t>전문 서비스업</t>
        </is>
      </c>
      <c r="L240" t="inlineStr">
        <is>
          <t>1</t>
        </is>
      </c>
      <c r="M240" s="3" t="n">
        <v>0.751</v>
      </c>
      <c r="N240" t="inlineStr">
        <is>
          <t>긍정</t>
        </is>
      </c>
    </row>
    <row r="241">
      <c r="A241" s="1" t="inlineStr">
        <is>
          <t>2021-05-23</t>
        </is>
      </c>
      <c r="B241" t="inlineStr">
        <is>
          <t>news</t>
        </is>
      </c>
      <c r="C241" t="inlineStr">
        <is>
          <t>economy</t>
        </is>
      </c>
      <c r="D241" t="inlineStr">
        <is>
          <t>한국경제</t>
        </is>
      </c>
      <c r="E241" t="inlineStr">
        <is>
          <t>황정수</t>
        </is>
      </c>
      <c r="F241" t="inlineStr">
        <is>
          <t>"무선 배터리 시스템으로 전기차 혁신 이끌 것"</t>
        </is>
      </c>
      <c r="G241" s="2">
        <f>HYPERLINK("https://www.hankyung.com/economy/article/2021052399471", "Go to Website")</f>
        <v/>
      </c>
      <c r="H241" t="inlineStr"/>
      <c r="I241" t="inlineStr">
        <is>
          <t>C30</t>
        </is>
      </c>
      <c r="J241" s="3" t="n">
        <v>0.713</v>
      </c>
      <c r="K241" t="inlineStr">
        <is>
          <t>자동차 및 트레일러 제조업</t>
        </is>
      </c>
      <c r="L241" t="inlineStr"/>
      <c r="M241" t="inlineStr"/>
      <c r="N241" t="inlineStr"/>
    </row>
    <row r="242">
      <c r="A242" s="1" t="inlineStr">
        <is>
          <t>2021-05-23</t>
        </is>
      </c>
      <c r="B242" t="inlineStr">
        <is>
          <t>news</t>
        </is>
      </c>
      <c r="C242" t="inlineStr">
        <is>
          <t>economy</t>
        </is>
      </c>
      <c r="D242" t="inlineStr">
        <is>
          <t>매일경제</t>
        </is>
      </c>
      <c r="E242" t="inlineStr">
        <is>
          <t>신혜림</t>
        </is>
      </c>
      <c r="F242" t="inlineStr">
        <is>
          <t>ESG 펀드 3년만에 3배로 늘어</t>
        </is>
      </c>
      <c r="G242" s="2">
        <f>HYPERLINK("http://news.mk.co.kr/newsRead.php?no=495794&amp;year=2021", "Go to Website")</f>
        <v/>
      </c>
      <c r="H242" t="inlineStr"/>
      <c r="I242" t="inlineStr">
        <is>
          <t>K64</t>
        </is>
      </c>
      <c r="J242" s="3" t="n">
        <v>0.768</v>
      </c>
      <c r="K242" t="inlineStr">
        <is>
          <t>금융업</t>
        </is>
      </c>
      <c r="L242" t="inlineStr"/>
      <c r="M242" t="inlineStr"/>
      <c r="N242" t="inlineStr"/>
    </row>
    <row r="243">
      <c r="A243" s="1" t="inlineStr">
        <is>
          <t>2021-05-23</t>
        </is>
      </c>
      <c r="B243" t="inlineStr">
        <is>
          <t>news</t>
        </is>
      </c>
      <c r="C243" t="inlineStr">
        <is>
          <t>economy</t>
        </is>
      </c>
      <c r="D243" t="inlineStr">
        <is>
          <t>서울신문</t>
        </is>
      </c>
      <c r="E243" t="inlineStr">
        <is>
          <t>이영준</t>
        </is>
      </c>
      <c r="F243" t="inlineStr">
        <is>
          <t>한미 정상회담서 빛난 최태원의 ‘경제외교’</t>
        </is>
      </c>
      <c r="G243" s="2">
        <f>HYPERLINK("https://www.seoul.co.kr/news/newsView.php?id=20210523500071", "Go to Website")</f>
        <v/>
      </c>
      <c r="H243" t="inlineStr"/>
      <c r="I243" t="inlineStr">
        <is>
          <t>K64</t>
        </is>
      </c>
      <c r="J243" s="3" t="n">
        <v>0.9360000000000001</v>
      </c>
      <c r="K243" t="inlineStr">
        <is>
          <t>금융업</t>
        </is>
      </c>
      <c r="L243" t="inlineStr"/>
      <c r="M243" t="inlineStr"/>
      <c r="N243" t="inlineStr"/>
    </row>
    <row r="244">
      <c r="A244" s="1" t="inlineStr">
        <is>
          <t>2021-05-23</t>
        </is>
      </c>
      <c r="B244" t="inlineStr">
        <is>
          <t>news</t>
        </is>
      </c>
      <c r="C244" t="inlineStr">
        <is>
          <t>economy</t>
        </is>
      </c>
      <c r="D244" t="inlineStr">
        <is>
          <t>서울경제</t>
        </is>
      </c>
      <c r="E244" t="inlineStr">
        <is>
          <t>박호현</t>
        </is>
      </c>
      <c r="F244" t="inlineStr">
        <is>
          <t>"코로나로 보호무역주의 확산···하도급 中企, 체질 개선 필요"</t>
        </is>
      </c>
      <c r="G244" s="2">
        <f>HYPERLINK("https://www.sedaily.com/NewsView/22MH17GDNA", "Go to Website")</f>
        <v/>
      </c>
      <c r="H244" t="inlineStr"/>
      <c r="I244" t="inlineStr">
        <is>
          <t>Q86</t>
        </is>
      </c>
      <c r="J244" s="3" t="n">
        <v>0.999</v>
      </c>
      <c r="K244" t="inlineStr">
        <is>
          <t>보건업</t>
        </is>
      </c>
      <c r="L244" t="inlineStr"/>
      <c r="M244" t="inlineStr"/>
      <c r="N244" t="inlineStr"/>
    </row>
    <row r="245">
      <c r="A245" s="1" t="inlineStr">
        <is>
          <t>2021-05-23</t>
        </is>
      </c>
      <c r="B245" t="inlineStr">
        <is>
          <t>news</t>
        </is>
      </c>
      <c r="C245" t="inlineStr">
        <is>
          <t>economy</t>
        </is>
      </c>
      <c r="D245" t="inlineStr">
        <is>
          <t>파이낸셜뉴스</t>
        </is>
      </c>
      <c r="E245" t="inlineStr">
        <is>
          <t>안승현</t>
        </is>
      </c>
      <c r="F245" t="inlineStr">
        <is>
          <t>경제외교 ‘광폭행보’ 최태원, 한·미 재계 실질적 협력 이끌다</t>
        </is>
      </c>
      <c r="G245" s="2">
        <f>HYPERLINK("http://www.fnnews.com/news/202105231738431358", "Go to Website")</f>
        <v/>
      </c>
      <c r="H245" t="inlineStr"/>
      <c r="I245" t="inlineStr">
        <is>
          <t>100</t>
        </is>
      </c>
      <c r="J245" s="3" t="n">
        <v>0.997</v>
      </c>
      <c r="K245" t="inlineStr">
        <is>
          <t>분류 제외, 기타</t>
        </is>
      </c>
      <c r="L245" t="inlineStr"/>
      <c r="M245" t="inlineStr"/>
      <c r="N245" t="inlineStr"/>
    </row>
    <row r="246">
      <c r="A246" s="1" t="inlineStr">
        <is>
          <t>2021-05-23</t>
        </is>
      </c>
      <c r="B246" t="inlineStr">
        <is>
          <t>news</t>
        </is>
      </c>
      <c r="C246" t="inlineStr">
        <is>
          <t>economy</t>
        </is>
      </c>
      <c r="D246" t="inlineStr">
        <is>
          <t>파이낸셜뉴스</t>
        </is>
      </c>
      <c r="E246" t="inlineStr">
        <is>
          <t>최종근</t>
        </is>
      </c>
      <c r="F246" t="inlineStr">
        <is>
          <t>수소차 ‘넥쏘’ 하반기 누적판매 2만대 넘는다</t>
        </is>
      </c>
      <c r="G246" s="2">
        <f>HYPERLINK("http://www.fnnews.com/news/202105231738460918", "Go to Website")</f>
        <v/>
      </c>
      <c r="H246" t="inlineStr"/>
      <c r="I246" t="inlineStr">
        <is>
          <t>C30</t>
        </is>
      </c>
      <c r="J246" s="3" t="n">
        <v>1</v>
      </c>
      <c r="K246" t="inlineStr">
        <is>
          <t>자동차 및 트레일러 제조업</t>
        </is>
      </c>
      <c r="L246" t="inlineStr"/>
      <c r="M246" t="inlineStr"/>
      <c r="N246" t="inlineStr"/>
    </row>
    <row r="247">
      <c r="A247" s="1" t="inlineStr">
        <is>
          <t>2021-05-23</t>
        </is>
      </c>
      <c r="B247" t="inlineStr">
        <is>
          <t>news</t>
        </is>
      </c>
      <c r="C247" t="inlineStr">
        <is>
          <t>economy</t>
        </is>
      </c>
      <c r="D247" t="inlineStr">
        <is>
          <t>파이낸셜뉴스</t>
        </is>
      </c>
      <c r="E247" t="inlineStr">
        <is>
          <t>최종근</t>
        </is>
      </c>
      <c r="F247" t="inlineStr">
        <is>
          <t>출고 빠른 ‘니로EV’에 주목… 보조금 선점에도 유리</t>
        </is>
      </c>
      <c r="G247" s="2">
        <f>HYPERLINK("http://www.fnnews.com/news/202105231738507861", "Go to Website")</f>
        <v/>
      </c>
      <c r="H247" t="inlineStr"/>
      <c r="I247" t="inlineStr">
        <is>
          <t>C30</t>
        </is>
      </c>
      <c r="J247" s="3" t="n">
        <v>1</v>
      </c>
      <c r="K247" t="inlineStr">
        <is>
          <t>자동차 및 트레일러 제조업</t>
        </is>
      </c>
      <c r="L247" t="inlineStr"/>
      <c r="M247" t="inlineStr"/>
      <c r="N247" t="inlineStr"/>
    </row>
    <row r="248">
      <c r="A248" s="1" t="inlineStr">
        <is>
          <t>2021-05-23</t>
        </is>
      </c>
      <c r="B248" t="inlineStr">
        <is>
          <t>news</t>
        </is>
      </c>
      <c r="C248" t="inlineStr">
        <is>
          <t>economy</t>
        </is>
      </c>
      <c r="D248" t="inlineStr">
        <is>
          <t>파이낸셜뉴스</t>
        </is>
      </c>
      <c r="E248" t="inlineStr">
        <is>
          <t>송경재</t>
        </is>
      </c>
      <c r="F248" t="inlineStr">
        <is>
          <t>희토류 이어 망간까지… 중국 '소재산업 무기화'가속페달</t>
        </is>
      </c>
      <c r="G248" s="2">
        <f>HYPERLINK("http://www.fnnews.com/news/202105231726106854", "Go to Website")</f>
        <v/>
      </c>
      <c r="H248" t="inlineStr"/>
      <c r="I248" t="inlineStr">
        <is>
          <t>B06</t>
        </is>
      </c>
      <c r="J248" s="3" t="n">
        <v>1</v>
      </c>
      <c r="K248" t="inlineStr">
        <is>
          <t>금속 광업</t>
        </is>
      </c>
      <c r="L248" t="inlineStr">
        <is>
          <t>0</t>
        </is>
      </c>
      <c r="M248" s="3" t="n">
        <v>0.992</v>
      </c>
      <c r="N248" t="inlineStr">
        <is>
          <t>중립</t>
        </is>
      </c>
    </row>
    <row r="249">
      <c r="A249" s="1" t="inlineStr">
        <is>
          <t>2021-05-23</t>
        </is>
      </c>
      <c r="B249" t="inlineStr">
        <is>
          <t>news</t>
        </is>
      </c>
      <c r="C249" t="inlineStr">
        <is>
          <t>economy</t>
        </is>
      </c>
      <c r="D249" t="inlineStr">
        <is>
          <t>노컷뉴스</t>
        </is>
      </c>
      <c r="E249" t="inlineStr">
        <is>
          <t>김연지</t>
        </is>
      </c>
      <c r="F249" t="inlineStr">
        <is>
          <t>경제단체 "안보·경제 등 한미 양국 다방면 협력 강화 환영, 의미있는 성과"</t>
        </is>
      </c>
      <c r="G249" s="2">
        <f>HYPERLINK("https://www.nocutnews.co.kr/news/5557232", "Go to Website")</f>
        <v/>
      </c>
      <c r="H249" t="inlineStr"/>
      <c r="I249" t="inlineStr">
        <is>
          <t>100</t>
        </is>
      </c>
      <c r="J249" s="3" t="n">
        <v>0.983</v>
      </c>
      <c r="K249" t="inlineStr">
        <is>
          <t>분류 제외, 기타</t>
        </is>
      </c>
      <c r="L249" t="inlineStr"/>
      <c r="M249" t="inlineStr"/>
      <c r="N249" t="inlineStr"/>
    </row>
    <row r="250">
      <c r="A250" s="1" t="inlineStr">
        <is>
          <t>2021-05-23</t>
        </is>
      </c>
      <c r="B250" t="inlineStr">
        <is>
          <t>news</t>
        </is>
      </c>
      <c r="C250" t="inlineStr">
        <is>
          <t>economy</t>
        </is>
      </c>
      <c r="D250" t="inlineStr">
        <is>
          <t>서울신문</t>
        </is>
      </c>
      <c r="E250" t="inlineStr">
        <is>
          <t>한재희</t>
        </is>
      </c>
      <c r="F250" t="inlineStr">
        <is>
          <t>트럼프 첫 회담 때보다 3배 늘어난 대미투자액...美 등에 올라탄 기업들</t>
        </is>
      </c>
      <c r="G250" s="2">
        <f>HYPERLINK("https://www.seoul.co.kr/news/newsView.php?id=20210523500067", "Go to Website")</f>
        <v/>
      </c>
      <c r="H250" t="inlineStr"/>
      <c r="I250" t="inlineStr">
        <is>
          <t>C33</t>
        </is>
      </c>
      <c r="J250" s="3" t="n">
        <v>0.864</v>
      </c>
      <c r="K250" t="inlineStr">
        <is>
          <t>기타 제품 제조업</t>
        </is>
      </c>
      <c r="L250" t="inlineStr"/>
      <c r="M250" t="inlineStr"/>
      <c r="N250" t="inlineStr"/>
    </row>
    <row r="251">
      <c r="A251" s="1" t="inlineStr">
        <is>
          <t>2021-05-23</t>
        </is>
      </c>
      <c r="B251" t="inlineStr">
        <is>
          <t>news</t>
        </is>
      </c>
      <c r="C251" t="inlineStr">
        <is>
          <t>economy</t>
        </is>
      </c>
      <c r="D251" t="inlineStr">
        <is>
          <t>매일경제</t>
        </is>
      </c>
      <c r="E251" t="inlineStr">
        <is>
          <t>원호섭</t>
        </is>
      </c>
      <c r="F251" t="inlineStr">
        <is>
          <t>최태원 회장 미국서 '경제외교' 광폭 행보</t>
        </is>
      </c>
      <c r="G251" s="2">
        <f>HYPERLINK("http://news.mk.co.kr/newsRead.php?no=495711&amp;year=2021", "Go to Website")</f>
        <v/>
      </c>
      <c r="H251" t="inlineStr"/>
      <c r="I251" t="inlineStr">
        <is>
          <t>P85</t>
        </is>
      </c>
      <c r="J251" s="3" t="n">
        <v>0.5620000000000001</v>
      </c>
      <c r="K251" t="inlineStr">
        <is>
          <t>교육 서비스업</t>
        </is>
      </c>
      <c r="L251" t="inlineStr">
        <is>
          <t>0</t>
        </is>
      </c>
      <c r="M251" s="3" t="n">
        <v>0.999</v>
      </c>
      <c r="N251" t="inlineStr">
        <is>
          <t>중립</t>
        </is>
      </c>
    </row>
    <row r="252">
      <c r="A252" s="1" t="inlineStr">
        <is>
          <t>2021-05-23</t>
        </is>
      </c>
      <c r="B252" t="inlineStr">
        <is>
          <t>news</t>
        </is>
      </c>
      <c r="C252" t="inlineStr">
        <is>
          <t>economy</t>
        </is>
      </c>
      <c r="D252" t="inlineStr">
        <is>
          <t>이데일리</t>
        </is>
      </c>
      <c r="E252" t="inlineStr">
        <is>
          <t>이지현</t>
        </is>
      </c>
      <c r="F252" t="inlineStr">
        <is>
          <t>삼전·SK이노·삼바 등…한미정상회담發 커지는 증시 기대감</t>
        </is>
      </c>
      <c r="G252" s="2">
        <f>HYPERLINK("http://www.edaily.co.kr/news/newspath.asp?newsid=01971286629051872", "Go to Website")</f>
        <v/>
      </c>
      <c r="H252" t="inlineStr"/>
      <c r="I252" t="inlineStr">
        <is>
          <t>100</t>
        </is>
      </c>
      <c r="J252" s="3" t="n">
        <v>0.502</v>
      </c>
      <c r="K252" t="inlineStr">
        <is>
          <t>분류 제외, 기타</t>
        </is>
      </c>
      <c r="L252" t="inlineStr"/>
      <c r="M252" t="inlineStr"/>
      <c r="N252" t="inlineStr"/>
    </row>
    <row r="253">
      <c r="A253" s="1" t="inlineStr">
        <is>
          <t>2021-05-23</t>
        </is>
      </c>
      <c r="B253" t="inlineStr">
        <is>
          <t>news</t>
        </is>
      </c>
      <c r="C253" t="inlineStr">
        <is>
          <t>economy</t>
        </is>
      </c>
      <c r="D253" t="inlineStr">
        <is>
          <t>한국경제</t>
        </is>
      </c>
      <c r="E253" t="inlineStr">
        <is>
          <t>고윤상</t>
        </is>
      </c>
      <c r="F253" t="inlineStr">
        <is>
          <t>"본업은 잊어라"…배터리·신재생·플랫폼 키우는 상장사들</t>
        </is>
      </c>
      <c r="G253" s="2">
        <f>HYPERLINK("https://www.hankyung.com/finance/article/2021052398531", "Go to Website")</f>
        <v/>
      </c>
      <c r="H253" t="inlineStr"/>
      <c r="I253" t="inlineStr">
        <is>
          <t>C26</t>
        </is>
      </c>
      <c r="J253" s="3" t="n">
        <v>0.5629999999999999</v>
      </c>
      <c r="K253" t="inlineStr">
        <is>
          <t>전자 부품, 컴퓨터, 영상, 음향 및 통신장비 제조업</t>
        </is>
      </c>
      <c r="L253" t="inlineStr"/>
      <c r="M253" t="inlineStr"/>
      <c r="N253" t="inlineStr"/>
    </row>
    <row r="254">
      <c r="A254" s="1" t="inlineStr">
        <is>
          <t>2021-05-23</t>
        </is>
      </c>
      <c r="B254" t="inlineStr">
        <is>
          <t>news</t>
        </is>
      </c>
      <c r="C254" t="inlineStr">
        <is>
          <t>economy</t>
        </is>
      </c>
      <c r="D254" t="inlineStr">
        <is>
          <t>문화일보</t>
        </is>
      </c>
      <c r="E254" t="inlineStr">
        <is>
          <t>박수진</t>
        </is>
      </c>
      <c r="F254" t="inlineStr">
        <is>
          <t>정부 “44조 원 투자 우리 기업에 인센티브 달라”…美에 요청</t>
        </is>
      </c>
      <c r="G254" s="2">
        <f>HYPERLINK("http://www.munhwa.com/news/view.html?no=20210523MW171641942163", "Go to Website")</f>
        <v/>
      </c>
      <c r="H254" t="inlineStr"/>
      <c r="I254" t="inlineStr">
        <is>
          <t>100</t>
        </is>
      </c>
      <c r="J254" s="3" t="n">
        <v>0.921</v>
      </c>
      <c r="K254" t="inlineStr">
        <is>
          <t>분류 제외, 기타</t>
        </is>
      </c>
      <c r="L254" t="inlineStr"/>
      <c r="M254" t="inlineStr"/>
      <c r="N254" t="inlineStr"/>
    </row>
    <row r="255">
      <c r="A255" s="1" t="inlineStr">
        <is>
          <t>2021-05-23</t>
        </is>
      </c>
      <c r="B255" t="inlineStr">
        <is>
          <t>news</t>
        </is>
      </c>
      <c r="C255" t="inlineStr">
        <is>
          <t>economy</t>
        </is>
      </c>
      <c r="D255" t="inlineStr">
        <is>
          <t>매일신문</t>
        </is>
      </c>
      <c r="E255" t="inlineStr">
        <is>
          <t>홍준헌</t>
        </is>
      </c>
      <c r="F255" t="inlineStr">
        <is>
          <t>‘한미회담 훈풍’ 국내 증시 살릴까…”코스피 3,700도 기대”</t>
        </is>
      </c>
      <c r="G255" s="2">
        <f>HYPERLINK("https://news.imaeil.com/Economy/2021052317144533346", "Go to Website")</f>
        <v/>
      </c>
      <c r="H255" t="inlineStr"/>
      <c r="I255" t="inlineStr">
        <is>
          <t>C26</t>
        </is>
      </c>
      <c r="J255" s="3" t="n">
        <v>0.902</v>
      </c>
      <c r="K255" t="inlineStr">
        <is>
          <t>전자 부품, 컴퓨터, 영상, 음향 및 통신장비 제조업</t>
        </is>
      </c>
      <c r="L255" t="inlineStr"/>
      <c r="M255" t="inlineStr"/>
      <c r="N255" t="inlineStr"/>
    </row>
    <row r="256">
      <c r="A256" s="1" t="inlineStr">
        <is>
          <t>2021-05-23</t>
        </is>
      </c>
      <c r="B256" t="inlineStr">
        <is>
          <t>news</t>
        </is>
      </c>
      <c r="C256" t="inlineStr">
        <is>
          <t>economy</t>
        </is>
      </c>
      <c r="D256" t="inlineStr">
        <is>
          <t>머니투데이</t>
        </is>
      </c>
      <c r="E256" t="inlineStr">
        <is>
          <t>최석환</t>
        </is>
      </c>
      <c r="F256" t="inlineStr">
        <is>
          <t>바이든 '땡큐'에 4대그룹 위상 올라갔지만..44조 투자 실효성은?</t>
        </is>
      </c>
      <c r="G256" s="2">
        <f>HYPERLINK("http://news.mt.co.kr/mtview.php?no=2021052317042362819", "Go to Website")</f>
        <v/>
      </c>
      <c r="H256" t="inlineStr"/>
      <c r="I256" t="inlineStr">
        <is>
          <t>B07</t>
        </is>
      </c>
      <c r="J256" s="3" t="n">
        <v>0.743</v>
      </c>
      <c r="K256" t="inlineStr">
        <is>
          <t>비금속광물 광업; 연료용 제외</t>
        </is>
      </c>
      <c r="L256" t="inlineStr"/>
      <c r="M256" t="inlineStr"/>
      <c r="N256" t="inlineStr"/>
    </row>
    <row r="257">
      <c r="A257" s="1" t="inlineStr">
        <is>
          <t>2021-05-23</t>
        </is>
      </c>
      <c r="B257" t="inlineStr">
        <is>
          <t>news</t>
        </is>
      </c>
      <c r="C257" t="inlineStr">
        <is>
          <t>economy</t>
        </is>
      </c>
      <c r="D257" t="inlineStr">
        <is>
          <t>중앙일보</t>
        </is>
      </c>
      <c r="E257" t="inlineStr">
        <is>
          <t>김영주</t>
        </is>
      </c>
      <c r="F257" t="inlineStr">
        <is>
          <t>더 끈끈해진 배터리-車 동맹…갑·을 아닌 유기적 협력 강화</t>
        </is>
      </c>
      <c r="G257" s="2">
        <f>HYPERLINK("https://news.joins.com/article/olink/23659145", "Go to Website")</f>
        <v/>
      </c>
      <c r="H257" t="inlineStr"/>
      <c r="I257" t="inlineStr">
        <is>
          <t>K64</t>
        </is>
      </c>
      <c r="J257" s="3" t="n">
        <v>0.595</v>
      </c>
      <c r="K257" t="inlineStr">
        <is>
          <t>금융업</t>
        </is>
      </c>
      <c r="L257" t="inlineStr"/>
      <c r="M257" t="inlineStr"/>
      <c r="N257" t="inlineStr"/>
    </row>
    <row r="258">
      <c r="A258" s="1" t="inlineStr">
        <is>
          <t>2021-05-23</t>
        </is>
      </c>
      <c r="B258" t="inlineStr">
        <is>
          <t>news</t>
        </is>
      </c>
      <c r="C258" t="inlineStr">
        <is>
          <t>economy</t>
        </is>
      </c>
      <c r="D258" t="inlineStr">
        <is>
          <t>매일경제</t>
        </is>
      </c>
      <c r="E258" t="inlineStr">
        <is>
          <t>송민근</t>
        </is>
      </c>
      <c r="F258" t="inlineStr">
        <is>
          <t>전기차 이어 수소차 보조금도 바닥</t>
        </is>
      </c>
      <c r="G258" s="2">
        <f>HYPERLINK("http://news.mk.co.kr/newsRead.php?no=495640&amp;year=2021", "Go to Website")</f>
        <v/>
      </c>
      <c r="H258" t="inlineStr"/>
      <c r="I258" t="inlineStr">
        <is>
          <t>100</t>
        </is>
      </c>
      <c r="J258" s="3" t="n">
        <v>0.5649999999999999</v>
      </c>
      <c r="K258" t="inlineStr">
        <is>
          <t>분류 제외, 기타</t>
        </is>
      </c>
      <c r="L258" t="inlineStr">
        <is>
          <t>0</t>
        </is>
      </c>
      <c r="M258" s="3" t="n">
        <v>0.883</v>
      </c>
      <c r="N258" t="inlineStr">
        <is>
          <t>중립</t>
        </is>
      </c>
    </row>
    <row r="259">
      <c r="A259" s="1" t="inlineStr">
        <is>
          <t>2021-05-23</t>
        </is>
      </c>
      <c r="B259" t="inlineStr">
        <is>
          <t>news</t>
        </is>
      </c>
      <c r="C259" t="inlineStr">
        <is>
          <t>tech</t>
        </is>
      </c>
      <c r="D259" t="inlineStr">
        <is>
          <t>전자신문</t>
        </is>
      </c>
      <c r="E259" t="inlineStr">
        <is>
          <t>김지웅</t>
        </is>
      </c>
      <c r="F259" t="inlineStr">
        <is>
          <t>최태원 SK그룹 회장, 미국 배터리 공장 공격적 투자...전기차 시장 패권 '의욕'</t>
        </is>
      </c>
      <c r="G259" s="2">
        <f>HYPERLINK("http://www.etnews.com/20210523000072", "Go to Website")</f>
        <v/>
      </c>
      <c r="H259" t="inlineStr"/>
      <c r="I259" t="inlineStr"/>
      <c r="J259" t="inlineStr"/>
      <c r="K259" t="inlineStr"/>
      <c r="L259" t="inlineStr"/>
      <c r="M259" t="inlineStr"/>
      <c r="N259" t="inlineStr"/>
    </row>
    <row r="260">
      <c r="A260" s="1" t="inlineStr">
        <is>
          <t>2021-05-23</t>
        </is>
      </c>
      <c r="B260" t="inlineStr">
        <is>
          <t>news</t>
        </is>
      </c>
      <c r="C260" t="inlineStr">
        <is>
          <t>economy</t>
        </is>
      </c>
      <c r="D260" t="inlineStr">
        <is>
          <t>머니투데이</t>
        </is>
      </c>
      <c r="E260" t="inlineStr">
        <is>
          <t>최민경</t>
        </is>
      </c>
      <c r="F260" t="inlineStr">
        <is>
          <t>"韓배터리 대미 16조 투자는 中·日 따돌릴 기회"</t>
        </is>
      </c>
      <c r="G260" s="2">
        <f>HYPERLINK("http://news.mt.co.kr/mtview.php?no=2021052316275771192", "Go to Website")</f>
        <v/>
      </c>
      <c r="H260" t="inlineStr"/>
      <c r="I260" t="inlineStr">
        <is>
          <t>K64</t>
        </is>
      </c>
      <c r="J260" s="3" t="n">
        <v>0.498</v>
      </c>
      <c r="K260" t="inlineStr">
        <is>
          <t>금융업</t>
        </is>
      </c>
      <c r="L260" t="inlineStr">
        <is>
          <t>0</t>
        </is>
      </c>
      <c r="M260" s="3" t="n">
        <v>0.908</v>
      </c>
      <c r="N260" t="inlineStr">
        <is>
          <t>중립</t>
        </is>
      </c>
    </row>
    <row r="261">
      <c r="A261" s="1" t="inlineStr">
        <is>
          <t>2021-05-23</t>
        </is>
      </c>
      <c r="B261" t="inlineStr">
        <is>
          <t>news</t>
        </is>
      </c>
      <c r="C261" t="inlineStr">
        <is>
          <t>economy</t>
        </is>
      </c>
      <c r="D261" t="inlineStr">
        <is>
          <t>매일경제</t>
        </is>
      </c>
      <c r="E261" t="inlineStr">
        <is>
          <t>이종화</t>
        </is>
      </c>
      <c r="F261" t="inlineStr">
        <is>
          <t>[IR52 장영실상] 대주전자재료 '리튬이차전지용 실리콘산화물 음극재'</t>
        </is>
      </c>
      <c r="G261" s="2">
        <f>HYPERLINK("http://news.mk.co.kr/newsRead.php?no=495551&amp;year=2021", "Go to Website")</f>
        <v/>
      </c>
      <c r="H261" t="inlineStr"/>
      <c r="I261" t="inlineStr">
        <is>
          <t>C20</t>
        </is>
      </c>
      <c r="J261" s="3" t="n">
        <v>0.519</v>
      </c>
      <c r="K261" t="inlineStr">
        <is>
          <t>화학 물질 및 화학제품 제조업; 의약품 제외</t>
        </is>
      </c>
      <c r="L261" t="inlineStr">
        <is>
          <t>1</t>
        </is>
      </c>
      <c r="M261" s="3" t="n">
        <v>0.929</v>
      </c>
      <c r="N261" t="inlineStr">
        <is>
          <t>긍정</t>
        </is>
      </c>
    </row>
    <row r="262">
      <c r="A262" s="1" t="inlineStr">
        <is>
          <t>2021-05-23</t>
        </is>
      </c>
      <c r="B262" t="inlineStr">
        <is>
          <t>news</t>
        </is>
      </c>
      <c r="C262" t="inlineStr">
        <is>
          <t>economy</t>
        </is>
      </c>
      <c r="D262" t="inlineStr">
        <is>
          <t>파이낸셜뉴스</t>
        </is>
      </c>
      <c r="E262" t="inlineStr">
        <is>
          <t>안태호</t>
        </is>
      </c>
      <c r="F262" t="inlineStr">
        <is>
          <t>SK-LG, 140억불 역대급 투자..K-배터리 생태계 구축</t>
        </is>
      </c>
      <c r="G262" s="2">
        <f>HYPERLINK("http://www.fnnews.com/news/202105231536030825", "Go to Website")</f>
        <v/>
      </c>
      <c r="H262" t="inlineStr"/>
      <c r="I262" t="inlineStr">
        <is>
          <t>100</t>
        </is>
      </c>
      <c r="J262" s="3" t="n">
        <v>0.824</v>
      </c>
      <c r="K262" t="inlineStr">
        <is>
          <t>분류 제외, 기타</t>
        </is>
      </c>
      <c r="L262" t="inlineStr"/>
      <c r="M262" t="inlineStr"/>
      <c r="N262" t="inlineStr"/>
    </row>
    <row r="263">
      <c r="A263" s="1" t="inlineStr">
        <is>
          <t>2021-05-23</t>
        </is>
      </c>
      <c r="B263" t="inlineStr">
        <is>
          <t>news</t>
        </is>
      </c>
      <c r="C263" t="inlineStr">
        <is>
          <t>economy</t>
        </is>
      </c>
      <c r="D263" t="inlineStr">
        <is>
          <t>데일리안</t>
        </is>
      </c>
      <c r="E263" t="inlineStr">
        <is>
          <t>이홍석</t>
        </is>
      </c>
      <c r="F263" t="inlineStr">
        <is>
          <t>재계 "韓·美, 양국 협력 강화 환영...현실화 노력 다할 것"</t>
        </is>
      </c>
      <c r="G263" s="2">
        <f>HYPERLINK("https://www.dailian.co.kr/news/view/993832/", "Go to Website")</f>
        <v/>
      </c>
      <c r="H263" t="inlineStr"/>
      <c r="I263" t="inlineStr">
        <is>
          <t>R90</t>
        </is>
      </c>
      <c r="J263" s="3" t="n">
        <v>0.973</v>
      </c>
      <c r="K263" t="inlineStr">
        <is>
          <t>창작, 예술 및 여가관련 서비스업</t>
        </is>
      </c>
      <c r="L263" t="inlineStr"/>
      <c r="M263" t="inlineStr"/>
      <c r="N263" t="inlineStr"/>
    </row>
    <row r="264">
      <c r="A264" s="1" t="inlineStr">
        <is>
          <t>2021-05-23</t>
        </is>
      </c>
      <c r="B264" t="inlineStr">
        <is>
          <t>news</t>
        </is>
      </c>
      <c r="C264" t="inlineStr">
        <is>
          <t>economy</t>
        </is>
      </c>
      <c r="D264" t="inlineStr">
        <is>
          <t>국민일보</t>
        </is>
      </c>
      <c r="E264" t="inlineStr">
        <is>
          <t>김준엽</t>
        </is>
      </c>
      <c r="F264" t="inlineStr">
        <is>
          <t>44조 약속으로 얻어낸 ‘동맹강화·백신협력’…미 對韓투자 늘릴까</t>
        </is>
      </c>
      <c r="G264" s="2">
        <f>HYPERLINK("http://news.kmib.co.kr/article/view.asp?arcid=0015873342&amp;code=61141411", "Go to Website")</f>
        <v/>
      </c>
      <c r="H264" t="inlineStr"/>
      <c r="I264" t="inlineStr">
        <is>
          <t>100</t>
        </is>
      </c>
      <c r="J264" s="3" t="n">
        <v>0.38</v>
      </c>
      <c r="K264" t="inlineStr">
        <is>
          <t>분류 제외, 기타</t>
        </is>
      </c>
      <c r="L264" t="inlineStr"/>
      <c r="M264" t="inlineStr"/>
      <c r="N264" t="inlineStr"/>
    </row>
    <row r="265">
      <c r="A265" s="1" t="inlineStr">
        <is>
          <t>2021-05-23</t>
        </is>
      </c>
      <c r="B265" t="inlineStr">
        <is>
          <t>news</t>
        </is>
      </c>
      <c r="C265" t="inlineStr">
        <is>
          <t>economy</t>
        </is>
      </c>
      <c r="D265" t="inlineStr">
        <is>
          <t>중앙일보</t>
        </is>
      </c>
      <c r="E265" t="inlineStr">
        <is>
          <t>최선욱</t>
        </is>
      </c>
      <c r="F265" t="inlineStr">
        <is>
          <t>기업투자로 외교성과 낸 이례적 한·미회담…일자리 유출 우려</t>
        </is>
      </c>
      <c r="G265" s="2">
        <f>HYPERLINK("https://news.joins.com/article/olink/23659116", "Go to Website")</f>
        <v/>
      </c>
      <c r="H265" t="inlineStr"/>
      <c r="I265" t="inlineStr">
        <is>
          <t>C20</t>
        </is>
      </c>
      <c r="J265" s="3" t="n">
        <v>0.393</v>
      </c>
      <c r="K265" t="inlineStr">
        <is>
          <t>화학 물질 및 화학제품 제조업; 의약품 제외</t>
        </is>
      </c>
      <c r="L265" t="inlineStr"/>
      <c r="M265" t="inlineStr"/>
      <c r="N265" t="inlineStr"/>
    </row>
    <row r="266">
      <c r="A266" s="1" t="inlineStr">
        <is>
          <t>2021-05-23</t>
        </is>
      </c>
      <c r="B266" t="inlineStr">
        <is>
          <t>news</t>
        </is>
      </c>
      <c r="C266" t="inlineStr">
        <is>
          <t>economy</t>
        </is>
      </c>
      <c r="D266" t="inlineStr">
        <is>
          <t>노컷뉴스</t>
        </is>
      </c>
      <c r="E266" t="inlineStr">
        <is>
          <t>김연지</t>
        </is>
      </c>
      <c r="F266" t="inlineStr">
        <is>
          <t>SK 배터리 목표에 놀란 대통령, 최태원 "의욕치 들어간 것"</t>
        </is>
      </c>
      <c r="G266" s="2">
        <f>HYPERLINK("https://www.nocutnews.co.kr/news/5557219", "Go to Website")</f>
        <v/>
      </c>
      <c r="H266" t="inlineStr"/>
      <c r="I266" t="inlineStr">
        <is>
          <t>K64</t>
        </is>
      </c>
      <c r="J266" s="3" t="n">
        <v>0.853</v>
      </c>
      <c r="K266" t="inlineStr">
        <is>
          <t>금융업</t>
        </is>
      </c>
      <c r="L266" t="inlineStr">
        <is>
          <t>0</t>
        </is>
      </c>
      <c r="M266" s="3" t="n">
        <v>0.849</v>
      </c>
      <c r="N266" t="inlineStr">
        <is>
          <t>중립</t>
        </is>
      </c>
    </row>
    <row r="267">
      <c r="A267" s="1" t="inlineStr">
        <is>
          <t>2021-05-23</t>
        </is>
      </c>
      <c r="B267" t="inlineStr">
        <is>
          <t>news</t>
        </is>
      </c>
      <c r="C267" t="inlineStr">
        <is>
          <t>economy</t>
        </is>
      </c>
      <c r="D267" t="inlineStr">
        <is>
          <t>이데일리</t>
        </is>
      </c>
      <c r="E267" t="inlineStr">
        <is>
          <t>송승현</t>
        </is>
      </c>
      <c r="F267" t="inlineStr">
        <is>
          <t>경제단체 "한미 안보·경제 협력 강화‥의미 있는 성과"(종합)</t>
        </is>
      </c>
      <c r="G267" s="2">
        <f>HYPERLINK("http://www.edaily.co.kr/news/newspath.asp?newsid=01928646629051872", "Go to Website")</f>
        <v/>
      </c>
      <c r="H267" t="inlineStr"/>
      <c r="I267" t="inlineStr">
        <is>
          <t>100</t>
        </is>
      </c>
      <c r="J267" s="3" t="n">
        <v>0.999</v>
      </c>
      <c r="K267" t="inlineStr">
        <is>
          <t>분류 제외, 기타</t>
        </is>
      </c>
      <c r="L267" t="inlineStr"/>
      <c r="M267" t="inlineStr"/>
      <c r="N267" t="inlineStr"/>
    </row>
    <row r="268">
      <c r="A268" s="1" t="inlineStr">
        <is>
          <t>2021-05-23</t>
        </is>
      </c>
      <c r="B268" t="inlineStr">
        <is>
          <t>news</t>
        </is>
      </c>
      <c r="C268" t="inlineStr">
        <is>
          <t>economy</t>
        </is>
      </c>
      <c r="D268" t="inlineStr">
        <is>
          <t>국민일보</t>
        </is>
      </c>
      <c r="E268" t="inlineStr">
        <is>
          <t>김지애</t>
        </is>
      </c>
      <c r="F268" t="inlineStr">
        <is>
          <t>경제외교 무대 데뷔한 최태원 대한상의 회장 “ESG 정착 중요”</t>
        </is>
      </c>
      <c r="G268" s="2">
        <f>HYPERLINK("http://news.kmib.co.kr/article/view.asp?arcid=0015873314&amp;code=61141411", "Go to Website")</f>
        <v/>
      </c>
      <c r="H268" t="inlineStr"/>
      <c r="I268" t="inlineStr">
        <is>
          <t>100</t>
        </is>
      </c>
      <c r="J268" s="3" t="n">
        <v>1</v>
      </c>
      <c r="K268" t="inlineStr">
        <is>
          <t>분류 제외, 기타</t>
        </is>
      </c>
      <c r="L268" t="inlineStr"/>
      <c r="M268" t="inlineStr"/>
      <c r="N268" t="inlineStr"/>
    </row>
    <row r="269">
      <c r="A269" s="1" t="inlineStr">
        <is>
          <t>2021-05-23</t>
        </is>
      </c>
      <c r="B269" t="inlineStr">
        <is>
          <t>news</t>
        </is>
      </c>
      <c r="C269" t="inlineStr">
        <is>
          <t>economy</t>
        </is>
      </c>
      <c r="D269" t="inlineStr">
        <is>
          <t>노컷뉴스</t>
        </is>
      </c>
      <c r="E269" t="inlineStr">
        <is>
          <t>김연지</t>
        </is>
      </c>
      <c r="F269" t="inlineStr">
        <is>
          <t>SK 최태원, 대미 네트워크 총동원…반도체·배터리·바이오 투자 확대 역설</t>
        </is>
      </c>
      <c r="G269" s="2">
        <f>HYPERLINK("https://www.nocutnews.co.kr/news/5557218", "Go to Website")</f>
        <v/>
      </c>
      <c r="H269" t="inlineStr"/>
      <c r="I269" t="inlineStr">
        <is>
          <t>100</t>
        </is>
      </c>
      <c r="J269" s="3" t="n">
        <v>1</v>
      </c>
      <c r="K269" t="inlineStr">
        <is>
          <t>분류 제외, 기타</t>
        </is>
      </c>
      <c r="L269" t="inlineStr">
        <is>
          <t>1</t>
        </is>
      </c>
      <c r="M269" s="3" t="n">
        <v>0.5649999999999999</v>
      </c>
      <c r="N269" t="inlineStr">
        <is>
          <t>긍정</t>
        </is>
      </c>
    </row>
    <row r="270">
      <c r="A270" s="1" t="inlineStr">
        <is>
          <t>2021-05-23</t>
        </is>
      </c>
      <c r="B270" t="inlineStr">
        <is>
          <t>news</t>
        </is>
      </c>
      <c r="C270" t="inlineStr">
        <is>
          <t>economy</t>
        </is>
      </c>
      <c r="D270" t="inlineStr">
        <is>
          <t>디지털타임스</t>
        </is>
      </c>
      <c r="E270" t="inlineStr">
        <is>
          <t>박정일</t>
        </is>
      </c>
      <c r="F270" t="inlineStr">
        <is>
          <t>`44조원 투자` 韓 재계, 바이든 `인프라` 핵심 조력자 부상</t>
        </is>
      </c>
      <c r="G270" s="2">
        <f>HYPERLINK("http://www.dt.co.kr/contents.html?article_no=2021052402100332781001", "Go to Website")</f>
        <v/>
      </c>
      <c r="H270" t="inlineStr"/>
      <c r="I270" t="inlineStr">
        <is>
          <t>K64</t>
        </is>
      </c>
      <c r="J270" s="3" t="n">
        <v>0.437</v>
      </c>
      <c r="K270" t="inlineStr">
        <is>
          <t>금융업</t>
        </is>
      </c>
      <c r="L270" t="inlineStr"/>
      <c r="M270" t="inlineStr"/>
      <c r="N270" t="inlineStr"/>
    </row>
    <row r="271">
      <c r="A271" s="1" t="inlineStr">
        <is>
          <t>2021-05-23</t>
        </is>
      </c>
      <c r="B271" t="inlineStr">
        <is>
          <t>news</t>
        </is>
      </c>
      <c r="C271" t="inlineStr">
        <is>
          <t>economy</t>
        </is>
      </c>
      <c r="D271" t="inlineStr">
        <is>
          <t>이데일리</t>
        </is>
      </c>
      <c r="E271" t="inlineStr">
        <is>
          <t>김영환</t>
        </is>
      </c>
      <c r="F271" t="inlineStr">
        <is>
          <t>4대 기업, 美에 44조원 투자…'경제 협력→동맹 진화'</t>
        </is>
      </c>
      <c r="G271" s="2">
        <f>HYPERLINK("http://www.edaily.co.kr/news/newspath.asp?newsid=01918806629051872", "Go to Website")</f>
        <v/>
      </c>
      <c r="H271" t="inlineStr"/>
      <c r="I271" t="inlineStr">
        <is>
          <t>C26</t>
        </is>
      </c>
      <c r="J271" s="3" t="n">
        <v>0.658</v>
      </c>
      <c r="K271" t="inlineStr">
        <is>
          <t>전자 부품, 컴퓨터, 영상, 음향 및 통신장비 제조업</t>
        </is>
      </c>
      <c r="L271" t="inlineStr"/>
      <c r="M271" t="inlineStr"/>
      <c r="N271" t="inlineStr"/>
    </row>
    <row r="272">
      <c r="A272" s="1" t="inlineStr">
        <is>
          <t>2021-05-23</t>
        </is>
      </c>
      <c r="B272" t="inlineStr">
        <is>
          <t>news</t>
        </is>
      </c>
      <c r="C272" t="inlineStr">
        <is>
          <t>economy</t>
        </is>
      </c>
      <c r="D272" t="inlineStr">
        <is>
          <t>파이낸셜뉴스</t>
        </is>
      </c>
      <c r="E272" t="inlineStr">
        <is>
          <t>최종근</t>
        </is>
      </c>
      <c r="F272" t="inlineStr">
        <is>
          <t>기아 전기차 '니로 EV' 주목…보조금 가뭄 속 단비</t>
        </is>
      </c>
      <c r="G272" s="2">
        <f>HYPERLINK("http://www.fnnews.com/news/202105230916229173", "Go to Website")</f>
        <v/>
      </c>
      <c r="H272" t="inlineStr"/>
      <c r="I272" t="inlineStr">
        <is>
          <t>C30</t>
        </is>
      </c>
      <c r="J272" s="3" t="n">
        <v>1</v>
      </c>
      <c r="K272" t="inlineStr">
        <is>
          <t>자동차 및 트레일러 제조업</t>
        </is>
      </c>
      <c r="L272" t="inlineStr">
        <is>
          <t>1</t>
        </is>
      </c>
      <c r="M272" s="3" t="n">
        <v>0.5629999999999999</v>
      </c>
      <c r="N272" t="inlineStr">
        <is>
          <t>긍정</t>
        </is>
      </c>
    </row>
    <row r="273">
      <c r="A273" s="1" t="inlineStr">
        <is>
          <t>2021-05-23</t>
        </is>
      </c>
      <c r="B273" t="inlineStr">
        <is>
          <t>news</t>
        </is>
      </c>
      <c r="C273" t="inlineStr">
        <is>
          <t>economy</t>
        </is>
      </c>
      <c r="D273" t="inlineStr">
        <is>
          <t>아시아경제</t>
        </is>
      </c>
      <c r="E273" t="inlineStr">
        <is>
          <t>이창환</t>
        </is>
      </c>
      <c r="F273" t="inlineStr">
        <is>
          <t>경제단체들 한미정상회담 일제 환영 "경제동맹 강화 기대"(종합)</t>
        </is>
      </c>
      <c r="G273" s="2">
        <f>HYPERLINK("https://view.asiae.co.kr/article/2021052315543511176", "Go to Website")</f>
        <v/>
      </c>
      <c r="H273" t="inlineStr"/>
      <c r="I273" t="inlineStr">
        <is>
          <t>L68</t>
        </is>
      </c>
      <c r="J273" s="3" t="n">
        <v>0.635</v>
      </c>
      <c r="K273" t="inlineStr">
        <is>
          <t>부동산업</t>
        </is>
      </c>
      <c r="L273" t="inlineStr"/>
      <c r="M273" t="inlineStr"/>
      <c r="N273" t="inlineStr"/>
    </row>
    <row r="274">
      <c r="A274" s="1" t="inlineStr">
        <is>
          <t>2021-05-23</t>
        </is>
      </c>
      <c r="B274" t="inlineStr">
        <is>
          <t>news</t>
        </is>
      </c>
      <c r="C274" t="inlineStr">
        <is>
          <t>economy</t>
        </is>
      </c>
      <c r="D274" t="inlineStr">
        <is>
          <t>한겨레</t>
        </is>
      </c>
      <c r="E274" t="inlineStr"/>
      <c r="F274" t="inlineStr">
        <is>
          <t>4대그룹 40조원 미국 투자 구체 내용은?</t>
        </is>
      </c>
      <c r="G274" s="2">
        <f>HYPERLINK("http://www.hani.co.kr/arti/economy/economy_general/996277.html", "Go to Website")</f>
        <v/>
      </c>
      <c r="H274" t="inlineStr"/>
      <c r="I274" t="inlineStr">
        <is>
          <t>C26</t>
        </is>
      </c>
      <c r="J274" s="3" t="n">
        <v>0.836</v>
      </c>
      <c r="K274" t="inlineStr">
        <is>
          <t>전자 부품, 컴퓨터, 영상, 음향 및 통신장비 제조업</t>
        </is>
      </c>
      <c r="L274" t="inlineStr"/>
      <c r="M274" t="inlineStr"/>
      <c r="N274" t="inlineStr"/>
    </row>
    <row r="275">
      <c r="A275" s="1" t="inlineStr">
        <is>
          <t>2021-05-23</t>
        </is>
      </c>
      <c r="B275" t="inlineStr">
        <is>
          <t>news</t>
        </is>
      </c>
      <c r="C275" t="inlineStr">
        <is>
          <t>economy</t>
        </is>
      </c>
      <c r="D275" t="inlineStr">
        <is>
          <t>스포츠서울</t>
        </is>
      </c>
      <c r="E275" t="inlineStr">
        <is>
          <t>김민규</t>
        </is>
      </c>
      <c r="F275" t="inlineStr">
        <is>
          <t>한·미 경제외교 이끈 최태원 회장 “반도체·배터리·바이오 투자 확대할 것”</t>
        </is>
      </c>
      <c r="G275" s="2">
        <f>HYPERLINK("http://www.sportsseoul.com/news/read/1043332", "Go to Website")</f>
        <v/>
      </c>
      <c r="H275" t="inlineStr"/>
      <c r="I275" t="inlineStr">
        <is>
          <t>100</t>
        </is>
      </c>
      <c r="J275" s="3" t="n">
        <v>1</v>
      </c>
      <c r="K275" t="inlineStr">
        <is>
          <t>분류 제외, 기타</t>
        </is>
      </c>
      <c r="L275" t="inlineStr"/>
      <c r="M275" t="inlineStr"/>
      <c r="N275" t="inlineStr"/>
    </row>
    <row r="276">
      <c r="A276" s="1" t="inlineStr">
        <is>
          <t>2021-05-23</t>
        </is>
      </c>
      <c r="B276" t="inlineStr">
        <is>
          <t>news</t>
        </is>
      </c>
      <c r="C276" t="inlineStr">
        <is>
          <t>economy</t>
        </is>
      </c>
      <c r="D276" t="inlineStr">
        <is>
          <t>머니S</t>
        </is>
      </c>
      <c r="E276" t="inlineStr">
        <is>
          <t>권가림</t>
        </is>
      </c>
      <c r="F276" t="inlineStr">
        <is>
          <t>경제단체 "한·미 정상회담, 반도체·백신 협력 성과… 동반자적 관계 기대"</t>
        </is>
      </c>
      <c r="G276" s="2">
        <f>HYPERLINK("http://moneys.mt.co.kr/news/mwView.php?no=2021052315398032060", "Go to Website")</f>
        <v/>
      </c>
      <c r="H276" t="inlineStr"/>
      <c r="I276" t="inlineStr">
        <is>
          <t>100</t>
        </is>
      </c>
      <c r="J276" s="3" t="n">
        <v>0.907</v>
      </c>
      <c r="K276" t="inlineStr">
        <is>
          <t>분류 제외, 기타</t>
        </is>
      </c>
      <c r="L276" t="inlineStr"/>
      <c r="M276" t="inlineStr"/>
      <c r="N276" t="inlineStr"/>
    </row>
    <row r="277">
      <c r="A277" s="1" t="inlineStr">
        <is>
          <t>2021-05-23</t>
        </is>
      </c>
      <c r="B277" t="inlineStr">
        <is>
          <t>news</t>
        </is>
      </c>
      <c r="C277" t="inlineStr">
        <is>
          <t>economy</t>
        </is>
      </c>
      <c r="D277" t="inlineStr">
        <is>
          <t>파이낸셜뉴스</t>
        </is>
      </c>
      <c r="E277" t="inlineStr">
        <is>
          <t>최종근</t>
        </is>
      </c>
      <c r="F277" t="inlineStr">
        <is>
          <t>수소차 넥쏘 하반기 누적판매 2만대 넘는다</t>
        </is>
      </c>
      <c r="G277" s="2">
        <f>HYPERLINK("http://www.fnnews.com/news/202105231011362158", "Go to Website")</f>
        <v/>
      </c>
      <c r="H277" t="inlineStr"/>
      <c r="I277" t="inlineStr">
        <is>
          <t>C30</t>
        </is>
      </c>
      <c r="J277" s="3" t="n">
        <v>0.838</v>
      </c>
      <c r="K277" t="inlineStr">
        <is>
          <t>자동차 및 트레일러 제조업</t>
        </is>
      </c>
      <c r="L277" t="inlineStr"/>
      <c r="M277" t="inlineStr"/>
      <c r="N277" t="inlineStr"/>
    </row>
    <row r="278">
      <c r="A278" s="1" t="inlineStr">
        <is>
          <t>2021-05-23</t>
        </is>
      </c>
      <c r="B278" t="inlineStr">
        <is>
          <t>news</t>
        </is>
      </c>
      <c r="C278" t="inlineStr">
        <is>
          <t>tech</t>
        </is>
      </c>
      <c r="D278" t="inlineStr">
        <is>
          <t>디지털데일리</t>
        </is>
      </c>
      <c r="E278" t="inlineStr">
        <is>
          <t>김도현</t>
        </is>
      </c>
      <c r="F278" t="inlineStr">
        <is>
          <t>[소부장 유망기업탐방] LG·삼성·SK 모두 찾는 하나기술…“배터리 장비 다 됩니다”</t>
        </is>
      </c>
      <c r="G278" s="2">
        <f>HYPERLINK("http://www.ddaily.co.kr/news/article.html?no=214711", "Go to Website")</f>
        <v/>
      </c>
      <c r="H278" t="inlineStr"/>
      <c r="I278" t="inlineStr"/>
      <c r="J278" t="inlineStr"/>
      <c r="K278" t="inlineStr"/>
      <c r="L278" t="inlineStr"/>
      <c r="M278" t="inlineStr"/>
      <c r="N278" t="inlineStr"/>
    </row>
    <row r="279">
      <c r="A279" s="1" t="inlineStr">
        <is>
          <t>2021-05-23</t>
        </is>
      </c>
      <c r="B279" t="inlineStr">
        <is>
          <t>news</t>
        </is>
      </c>
      <c r="C279" t="inlineStr">
        <is>
          <t>economy</t>
        </is>
      </c>
      <c r="D279" t="inlineStr">
        <is>
          <t>머니투데이</t>
        </is>
      </c>
      <c r="E279" t="inlineStr">
        <is>
          <t>김사무엘</t>
        </is>
      </c>
      <c r="F279" t="inlineStr">
        <is>
          <t>IPO 전문가의 경고 "공모가 거품 심하다…수익률 깨질 시기"</t>
        </is>
      </c>
      <c r="G279" s="2">
        <f>HYPERLINK("http://news.mt.co.kr/mtview.php?no=2021052114402647079", "Go to Website")</f>
        <v/>
      </c>
      <c r="H279" t="inlineStr"/>
      <c r="I279" t="inlineStr">
        <is>
          <t>K64</t>
        </is>
      </c>
      <c r="J279" s="3" t="n">
        <v>0.637</v>
      </c>
      <c r="K279" t="inlineStr">
        <is>
          <t>금융업</t>
        </is>
      </c>
      <c r="L279" t="inlineStr"/>
      <c r="M279" t="inlineStr"/>
      <c r="N279" t="inlineStr"/>
    </row>
    <row r="280">
      <c r="A280" s="1" t="inlineStr">
        <is>
          <t>2021-05-23</t>
        </is>
      </c>
      <c r="B280" t="inlineStr">
        <is>
          <t>news</t>
        </is>
      </c>
      <c r="C280" t="inlineStr">
        <is>
          <t>economy</t>
        </is>
      </c>
      <c r="D280" t="inlineStr">
        <is>
          <t>뉴시스</t>
        </is>
      </c>
      <c r="E280" t="inlineStr">
        <is>
          <t>박주연</t>
        </is>
      </c>
      <c r="F280" t="inlineStr">
        <is>
          <t>경제단체들 "정상회담 성공적…공급망·백신 협력강화 환영"(종합)</t>
        </is>
      </c>
      <c r="G280" s="2">
        <f>HYPERLINK("http://www.newsis.com/view/?id=NISX20210523_0001450059&amp;cID=13001&amp;pID=13000", "Go to Website")</f>
        <v/>
      </c>
      <c r="H280" t="inlineStr"/>
      <c r="I280" t="inlineStr">
        <is>
          <t>100</t>
        </is>
      </c>
      <c r="J280" s="3" t="n">
        <v>0.588</v>
      </c>
      <c r="K280" t="inlineStr">
        <is>
          <t>분류 제외, 기타</t>
        </is>
      </c>
      <c r="L280" t="inlineStr"/>
      <c r="M280" t="inlineStr"/>
      <c r="N280" t="inlineStr"/>
    </row>
    <row r="281">
      <c r="A281" s="1" t="inlineStr">
        <is>
          <t>2021-05-23</t>
        </is>
      </c>
      <c r="B281" t="inlineStr">
        <is>
          <t>news</t>
        </is>
      </c>
      <c r="C281" t="inlineStr">
        <is>
          <t>economy</t>
        </is>
      </c>
      <c r="D281" t="inlineStr">
        <is>
          <t>일간스포츠</t>
        </is>
      </c>
      <c r="E281" t="inlineStr">
        <is>
          <t>김두용</t>
        </is>
      </c>
      <c r="F281" t="inlineStr">
        <is>
          <t>한미 회담서 가장 바빴던 '경제인' 최태원…대미 경제외교 선봉</t>
        </is>
      </c>
      <c r="G281" s="2">
        <f>HYPERLINK("http://isplus.live.joins.com/news/article/article.asp?total_id=24064406", "Go to Website")</f>
        <v/>
      </c>
      <c r="H281" t="inlineStr"/>
      <c r="I281" t="inlineStr">
        <is>
          <t>100</t>
        </is>
      </c>
      <c r="J281" s="3" t="n">
        <v>0.997</v>
      </c>
      <c r="K281" t="inlineStr">
        <is>
          <t>분류 제외, 기타</t>
        </is>
      </c>
      <c r="L281" t="inlineStr"/>
      <c r="M281" t="inlineStr"/>
      <c r="N281" t="inlineStr"/>
    </row>
    <row r="282">
      <c r="A282" s="1" t="inlineStr">
        <is>
          <t>2021-05-23</t>
        </is>
      </c>
      <c r="B282" t="inlineStr">
        <is>
          <t>news</t>
        </is>
      </c>
      <c r="C282" t="inlineStr">
        <is>
          <t>economy</t>
        </is>
      </c>
      <c r="D282" t="inlineStr">
        <is>
          <t>헤럴드경제</t>
        </is>
      </c>
      <c r="E282" t="inlineStr">
        <is>
          <t>홍태화</t>
        </is>
      </c>
      <c r="F282" t="inlineStr">
        <is>
          <t>4월 항만 수출입 물동량 7.4% 증가…고운임 비상</t>
        </is>
      </c>
      <c r="G282" s="2">
        <f>HYPERLINK("http://news.heraldcorp.com/view.php?ud=20210523000180", "Go to Website")</f>
        <v/>
      </c>
      <c r="H282" t="inlineStr"/>
      <c r="I282" t="inlineStr">
        <is>
          <t>A03</t>
        </is>
      </c>
      <c r="J282" s="3" t="n">
        <v>0.967</v>
      </c>
      <c r="K282" t="inlineStr">
        <is>
          <t>어업</t>
        </is>
      </c>
      <c r="L282" t="inlineStr"/>
      <c r="M282" t="inlineStr"/>
      <c r="N282" t="inlineStr"/>
    </row>
    <row r="283">
      <c r="A283" s="1" t="inlineStr">
        <is>
          <t>2021-05-23</t>
        </is>
      </c>
      <c r="B283" t="inlineStr">
        <is>
          <t>news</t>
        </is>
      </c>
      <c r="C283" t="inlineStr">
        <is>
          <t>economy</t>
        </is>
      </c>
      <c r="D283" t="inlineStr">
        <is>
          <t>세계일보</t>
        </is>
      </c>
      <c r="E283" t="inlineStr">
        <is>
          <t>김희원</t>
        </is>
      </c>
      <c r="F283" t="inlineStr">
        <is>
          <t>4월 항만 수출입 물동량 전년 동월 대비 7.4% 증가</t>
        </is>
      </c>
      <c r="G283" s="2">
        <f>HYPERLINK("http://www.segye.com/content/html/2021/05/23/20210523505517.html", "Go to Website")</f>
        <v/>
      </c>
      <c r="H283" t="inlineStr"/>
      <c r="I283" t="inlineStr">
        <is>
          <t>H50</t>
        </is>
      </c>
      <c r="J283" s="3" t="n">
        <v>0.51</v>
      </c>
      <c r="K283" t="inlineStr">
        <is>
          <t>수상 운송업</t>
        </is>
      </c>
      <c r="L283" t="inlineStr">
        <is>
          <t>0</t>
        </is>
      </c>
      <c r="M283" s="3" t="n">
        <v>0.832</v>
      </c>
      <c r="N283" t="inlineStr">
        <is>
          <t>중립</t>
        </is>
      </c>
    </row>
    <row r="284">
      <c r="A284" s="1" t="inlineStr">
        <is>
          <t>2021-05-23</t>
        </is>
      </c>
      <c r="B284" t="inlineStr">
        <is>
          <t>news</t>
        </is>
      </c>
      <c r="C284" t="inlineStr">
        <is>
          <t>economy</t>
        </is>
      </c>
      <c r="D284" t="inlineStr">
        <is>
          <t>뉴시스</t>
        </is>
      </c>
      <c r="E284" t="inlineStr">
        <is>
          <t>박주연</t>
        </is>
      </c>
      <c r="F284" t="inlineStr">
        <is>
          <t>무협 "한미양국 공급망 협력, 값진 성과…제1파트너 되길"</t>
        </is>
      </c>
      <c r="G284" s="2">
        <f>HYPERLINK("http://www.newsis.com/view/?id=NISX20210523_0001450050&amp;cID=13001&amp;pID=13000", "Go to Website")</f>
        <v/>
      </c>
      <c r="H284" t="inlineStr"/>
      <c r="I284" t="inlineStr">
        <is>
          <t>100</t>
        </is>
      </c>
      <c r="J284" s="3" t="n">
        <v>1</v>
      </c>
      <c r="K284" t="inlineStr">
        <is>
          <t>분류 제외, 기타</t>
        </is>
      </c>
      <c r="L284" t="inlineStr"/>
      <c r="M284" t="inlineStr"/>
      <c r="N284" t="inlineStr"/>
    </row>
    <row r="285">
      <c r="A285" s="1" t="inlineStr">
        <is>
          <t>2021-05-23</t>
        </is>
      </c>
      <c r="B285" t="inlineStr">
        <is>
          <t>news</t>
        </is>
      </c>
      <c r="C285" t="inlineStr">
        <is>
          <t>tech</t>
        </is>
      </c>
      <c r="D285" t="inlineStr">
        <is>
          <t>ZDNet Korea</t>
        </is>
      </c>
      <c r="E285" t="inlineStr">
        <is>
          <t>주문정</t>
        </is>
      </c>
      <c r="F285" t="inlineStr">
        <is>
          <t>무협 "한미 반도체·전기차 배터리 등 공급망 구축 협력 환영”</t>
        </is>
      </c>
      <c r="G285" s="2">
        <f>HYPERLINK("https://zdnet.co.kr/view/?no=20210523143506", "Go to Website")</f>
        <v/>
      </c>
      <c r="H285" t="inlineStr"/>
      <c r="I285" t="inlineStr"/>
      <c r="J285" t="inlineStr"/>
      <c r="K285" t="inlineStr"/>
      <c r="L285" t="inlineStr"/>
      <c r="M285" t="inlineStr"/>
      <c r="N285" t="inlineStr"/>
    </row>
    <row r="286">
      <c r="A286" s="1" t="inlineStr">
        <is>
          <t>2021-05-23</t>
        </is>
      </c>
      <c r="B286" t="inlineStr">
        <is>
          <t>news</t>
        </is>
      </c>
      <c r="C286" t="inlineStr">
        <is>
          <t>economy</t>
        </is>
      </c>
      <c r="D286" t="inlineStr">
        <is>
          <t>디지털타임스</t>
        </is>
      </c>
      <c r="E286" t="inlineStr"/>
      <c r="F286" t="inlineStr">
        <is>
          <t>`넥쏘` 인기에 수소차 보조금 빠른 소진…추경 불가피</t>
        </is>
      </c>
      <c r="G286" s="2">
        <f>HYPERLINK("http://www.dt.co.kr/contents.html?article_no=2021052302109958063004", "Go to Website")</f>
        <v/>
      </c>
      <c r="H286" t="inlineStr"/>
      <c r="I286" t="inlineStr">
        <is>
          <t>J61</t>
        </is>
      </c>
      <c r="J286" s="3" t="n">
        <v>0.785</v>
      </c>
      <c r="K286" t="inlineStr">
        <is>
          <t>우편 및 통신업</t>
        </is>
      </c>
      <c r="L286" t="inlineStr">
        <is>
          <t>0</t>
        </is>
      </c>
      <c r="M286" s="3" t="n">
        <v>0.996</v>
      </c>
      <c r="N286" t="inlineStr">
        <is>
          <t>중립</t>
        </is>
      </c>
    </row>
    <row r="287">
      <c r="A287" s="1" t="inlineStr">
        <is>
          <t>2021-05-23</t>
        </is>
      </c>
      <c r="B287" t="inlineStr">
        <is>
          <t>news</t>
        </is>
      </c>
      <c r="C287" t="inlineStr">
        <is>
          <t>economy</t>
        </is>
      </c>
      <c r="D287" t="inlineStr">
        <is>
          <t>조선비즈</t>
        </is>
      </c>
      <c r="E287" t="inlineStr">
        <is>
          <t>권유정</t>
        </is>
      </c>
      <c r="F287" t="inlineStr">
        <is>
          <t>뱅크오브아메리카, 테슬라 목표주가 22% 하향 조정</t>
        </is>
      </c>
      <c r="G287" s="2">
        <f>HYPERLINK("https://biz.chosun.com/stock/overseas_stock/2021/05/23/2SVNSFSTOVHMLBNYLWN5PQXH7I/?utm_medium=original&amp;utm_campaign=biz", "Go to Website")</f>
        <v/>
      </c>
      <c r="H287" t="inlineStr"/>
      <c r="I287" t="inlineStr">
        <is>
          <t>M71</t>
        </is>
      </c>
      <c r="J287" s="3" t="n">
        <v>0.407</v>
      </c>
      <c r="K287" t="inlineStr">
        <is>
          <t>전문 서비스업</t>
        </is>
      </c>
      <c r="L287" t="inlineStr"/>
      <c r="M287" t="inlineStr"/>
      <c r="N287" t="inlineStr"/>
    </row>
    <row r="288">
      <c r="A288" s="1" t="inlineStr">
        <is>
          <t>2021-05-23</t>
        </is>
      </c>
      <c r="B288" t="inlineStr">
        <is>
          <t>news</t>
        </is>
      </c>
      <c r="C288" t="inlineStr">
        <is>
          <t>tech</t>
        </is>
      </c>
      <c r="D288" t="inlineStr">
        <is>
          <t>동아사이언스</t>
        </is>
      </c>
      <c r="E288" t="inlineStr">
        <is>
          <t>고재원</t>
        </is>
      </c>
      <c r="F288" t="inlineStr">
        <is>
          <t>미사일 주권·원전협력·반도체-배터리 동맹…한미 정상회담 백신 외에 챙긴 성과들</t>
        </is>
      </c>
      <c r="G288" s="2">
        <f>HYPERLINK("http://www.dongascience.com/news/view/46750", "Go to Website")</f>
        <v/>
      </c>
      <c r="H288" t="inlineStr"/>
      <c r="I288" t="inlineStr"/>
      <c r="J288" t="inlineStr"/>
      <c r="K288" t="inlineStr"/>
      <c r="L288" t="inlineStr"/>
      <c r="M288" t="inlineStr"/>
      <c r="N288" t="inlineStr"/>
    </row>
    <row r="289">
      <c r="A289" s="1" t="inlineStr">
        <is>
          <t>2021-05-23</t>
        </is>
      </c>
      <c r="B289" t="inlineStr">
        <is>
          <t>news</t>
        </is>
      </c>
      <c r="C289" t="inlineStr">
        <is>
          <t>economy</t>
        </is>
      </c>
      <c r="D289" t="inlineStr">
        <is>
          <t>연합뉴스</t>
        </is>
      </c>
      <c r="E289" t="inlineStr">
        <is>
          <t>장하나</t>
        </is>
      </c>
      <c r="F289" t="inlineStr">
        <is>
          <t>경제단체 "한미 양국, 안보·경제 등 다방면 협력 강화 환영"(종합)</t>
        </is>
      </c>
      <c r="G289" s="2">
        <f>HYPERLINK("http://yna.kr/AKR20210523013651003?did=1195m", "Go to Website")</f>
        <v/>
      </c>
      <c r="H289" t="inlineStr"/>
      <c r="I289" t="inlineStr">
        <is>
          <t>L68</t>
        </is>
      </c>
      <c r="J289" s="3" t="n">
        <v>0.707</v>
      </c>
      <c r="K289" t="inlineStr">
        <is>
          <t>부동산업</t>
        </is>
      </c>
      <c r="L289" t="inlineStr"/>
      <c r="M289" t="inlineStr"/>
      <c r="N289" t="inlineStr"/>
    </row>
    <row r="290">
      <c r="A290" s="1" t="inlineStr">
        <is>
          <t>2021-05-23</t>
        </is>
      </c>
      <c r="B290" t="inlineStr">
        <is>
          <t>news</t>
        </is>
      </c>
      <c r="C290" t="inlineStr">
        <is>
          <t>economy</t>
        </is>
      </c>
      <c r="D290" t="inlineStr">
        <is>
          <t>문화일보</t>
        </is>
      </c>
      <c r="E290" t="inlineStr">
        <is>
          <t>김성훈</t>
        </is>
      </c>
      <c r="F290" t="inlineStr">
        <is>
          <t>쉐보레, 롯데푸드에 볼트EV 공급</t>
        </is>
      </c>
      <c r="G290" s="2">
        <f>HYPERLINK("http://www.munhwa.com/news/view.html?no=20210523MW135747754636", "Go to Website")</f>
        <v/>
      </c>
      <c r="H290" t="inlineStr"/>
      <c r="I290" t="inlineStr">
        <is>
          <t>C10</t>
        </is>
      </c>
      <c r="J290" s="3" t="n">
        <v>0.998</v>
      </c>
      <c r="K290" t="inlineStr">
        <is>
          <t>식료품 제조업</t>
        </is>
      </c>
      <c r="L290" t="inlineStr">
        <is>
          <t>1</t>
        </is>
      </c>
      <c r="M290" s="3" t="n">
        <v>0.98</v>
      </c>
      <c r="N290" t="inlineStr">
        <is>
          <t>긍정</t>
        </is>
      </c>
    </row>
    <row r="291">
      <c r="A291" s="1" t="inlineStr">
        <is>
          <t>2021-05-23</t>
        </is>
      </c>
      <c r="B291" t="inlineStr">
        <is>
          <t>news</t>
        </is>
      </c>
      <c r="C291" t="inlineStr">
        <is>
          <t>economy</t>
        </is>
      </c>
      <c r="D291" t="inlineStr">
        <is>
          <t>머니투데이</t>
        </is>
      </c>
      <c r="E291" t="inlineStr">
        <is>
          <t>최우영</t>
        </is>
      </c>
      <c r="F291" t="inlineStr">
        <is>
          <t>4월 항만 수출입물동량 7.4%↑ 경기 살아난다</t>
        </is>
      </c>
      <c r="G291" s="2">
        <f>HYPERLINK("http://news.mt.co.kr/mtview.php?no=2021052215470023605", "Go to Website")</f>
        <v/>
      </c>
      <c r="H291" t="inlineStr"/>
      <c r="I291" t="inlineStr">
        <is>
          <t>A03</t>
        </is>
      </c>
      <c r="J291" s="3" t="n">
        <v>1</v>
      </c>
      <c r="K291" t="inlineStr">
        <is>
          <t>어업</t>
        </is>
      </c>
      <c r="L291" t="inlineStr"/>
      <c r="M291" t="inlineStr"/>
      <c r="N291" t="inlineStr"/>
    </row>
    <row r="292">
      <c r="A292" s="1" t="inlineStr">
        <is>
          <t>2021-05-23</t>
        </is>
      </c>
      <c r="B292" t="inlineStr">
        <is>
          <t>news</t>
        </is>
      </c>
      <c r="C292" t="inlineStr">
        <is>
          <t>economy</t>
        </is>
      </c>
      <c r="D292" t="inlineStr">
        <is>
          <t>머니S</t>
        </is>
      </c>
      <c r="E292" t="inlineStr">
        <is>
          <t>권가림</t>
        </is>
      </c>
      <c r="F292" t="inlineStr">
        <is>
          <t>美 경제외교 이끈 최태원 회장… "반도체·배터리·바이오 투자 확대"</t>
        </is>
      </c>
      <c r="G292" s="2">
        <f>HYPERLINK("http://moneys.mt.co.kr/news/mwView.php?no=2021052313258018695", "Go to Website")</f>
        <v/>
      </c>
      <c r="H292" t="inlineStr"/>
      <c r="I292" t="inlineStr">
        <is>
          <t>100</t>
        </is>
      </c>
      <c r="J292" s="3" t="n">
        <v>0.998</v>
      </c>
      <c r="K292" t="inlineStr">
        <is>
          <t>분류 제외, 기타</t>
        </is>
      </c>
      <c r="L292" t="inlineStr"/>
      <c r="M292" t="inlineStr"/>
      <c r="N292" t="inlineStr"/>
    </row>
    <row r="293">
      <c r="A293" s="1" t="inlineStr">
        <is>
          <t>2021-05-23</t>
        </is>
      </c>
      <c r="B293" t="inlineStr">
        <is>
          <t>news</t>
        </is>
      </c>
      <c r="C293" t="inlineStr">
        <is>
          <t>tech</t>
        </is>
      </c>
      <c r="D293" t="inlineStr">
        <is>
          <t>디지털데일리</t>
        </is>
      </c>
      <c r="E293" t="inlineStr">
        <is>
          <t>김도현</t>
        </is>
      </c>
      <c r="F293" t="inlineStr">
        <is>
          <t>文 대통령, SK이노 美 배터리 공장 방문…내년 가동</t>
        </is>
      </c>
      <c r="G293" s="2">
        <f>HYPERLINK("http://www.ddaily.co.kr/news/article.html?no=214707", "Go to Website")</f>
        <v/>
      </c>
      <c r="H293" t="inlineStr"/>
      <c r="I293" t="inlineStr"/>
      <c r="J293" t="inlineStr"/>
      <c r="K293" t="inlineStr"/>
      <c r="L293" t="inlineStr"/>
      <c r="M293" t="inlineStr"/>
      <c r="N293" t="inlineStr"/>
    </row>
    <row r="294">
      <c r="A294" s="1" t="inlineStr">
        <is>
          <t>2021-05-23</t>
        </is>
      </c>
      <c r="B294" t="inlineStr">
        <is>
          <t>news</t>
        </is>
      </c>
      <c r="C294" t="inlineStr">
        <is>
          <t>economy</t>
        </is>
      </c>
      <c r="D294" t="inlineStr">
        <is>
          <t>디지털타임스</t>
        </is>
      </c>
      <c r="E294" t="inlineStr">
        <is>
          <t>박정일</t>
        </is>
      </c>
      <c r="F294" t="inlineStr">
        <is>
          <t>美 배터리 공장 간 文 대통령 "성장세 빠르네"…최태원 "의욕치가 좀"</t>
        </is>
      </c>
      <c r="G294" s="2">
        <f>HYPERLINK("http://www.dt.co.kr/contents.html?article_no=2021052302109932781003", "Go to Website")</f>
        <v/>
      </c>
      <c r="H294" t="inlineStr"/>
      <c r="I294" t="inlineStr">
        <is>
          <t>K64</t>
        </is>
      </c>
      <c r="J294" s="3" t="n">
        <v>0.986</v>
      </c>
      <c r="K294" t="inlineStr">
        <is>
          <t>금융업</t>
        </is>
      </c>
      <c r="L294" t="inlineStr">
        <is>
          <t>0</t>
        </is>
      </c>
      <c r="M294" s="3" t="n">
        <v>0.9409999999999999</v>
      </c>
      <c r="N294" t="inlineStr">
        <is>
          <t>중립</t>
        </is>
      </c>
    </row>
    <row r="295">
      <c r="A295" s="1" t="inlineStr">
        <is>
          <t>2021-05-23</t>
        </is>
      </c>
      <c r="B295" t="inlineStr">
        <is>
          <t>news</t>
        </is>
      </c>
      <c r="C295" t="inlineStr">
        <is>
          <t>economy</t>
        </is>
      </c>
      <c r="D295" t="inlineStr">
        <is>
          <t>중앙일보</t>
        </is>
      </c>
      <c r="E295" t="inlineStr">
        <is>
          <t>강기헌</t>
        </is>
      </c>
      <c r="F295" t="inlineStr">
        <is>
          <t>최태원 상의회장 美경제외교 “이해관계자 자본주의 정착해야”</t>
        </is>
      </c>
      <c r="G295" s="2">
        <f>HYPERLINK("https://news.joins.com/article/olink/23658999", "Go to Website")</f>
        <v/>
      </c>
      <c r="H295" t="inlineStr"/>
      <c r="I295" t="inlineStr">
        <is>
          <t>C28</t>
        </is>
      </c>
      <c r="J295" s="3" t="n">
        <v>0.524</v>
      </c>
      <c r="K295" t="inlineStr">
        <is>
          <t>전기장비 제조업</t>
        </is>
      </c>
      <c r="L295" t="inlineStr"/>
      <c r="M295" t="inlineStr"/>
      <c r="N295" t="inlineStr"/>
    </row>
    <row r="296">
      <c r="A296" s="1" t="inlineStr">
        <is>
          <t>2021-05-23</t>
        </is>
      </c>
      <c r="B296" t="inlineStr">
        <is>
          <t>news</t>
        </is>
      </c>
      <c r="C296" t="inlineStr">
        <is>
          <t>tech</t>
        </is>
      </c>
      <c r="D296" t="inlineStr">
        <is>
          <t>전자신문</t>
        </is>
      </c>
      <c r="E296" t="inlineStr">
        <is>
          <t>박소라</t>
        </is>
      </c>
      <c r="F296" t="inlineStr">
        <is>
          <t>최태원 상의 회장, '경제외교' 첫 행보…美 재계와 경제협력 논의</t>
        </is>
      </c>
      <c r="G296" s="2">
        <f>HYPERLINK("http://www.etnews.com/20210523000068", "Go to Website")</f>
        <v/>
      </c>
      <c r="H296" t="inlineStr"/>
      <c r="I296" t="inlineStr"/>
      <c r="J296" t="inlineStr"/>
      <c r="K296" t="inlineStr"/>
      <c r="L296" t="inlineStr"/>
      <c r="M296" t="inlineStr"/>
      <c r="N296" t="inlineStr"/>
    </row>
    <row r="297">
      <c r="A297" s="1" t="inlineStr">
        <is>
          <t>2021-05-23</t>
        </is>
      </c>
      <c r="B297" t="inlineStr">
        <is>
          <t>news</t>
        </is>
      </c>
      <c r="C297" t="inlineStr">
        <is>
          <t>economy</t>
        </is>
      </c>
      <c r="D297" t="inlineStr">
        <is>
          <t>아시아경제</t>
        </is>
      </c>
      <c r="E297" t="inlineStr">
        <is>
          <t>정현진</t>
        </is>
      </c>
      <c r="F297" t="inlineStr">
        <is>
          <t>무협 "한미정상회담 값진 성과…제1경협 파트너 되길 기대"</t>
        </is>
      </c>
      <c r="G297" s="2">
        <f>HYPERLINK("https://view.asiae.co.kr/article/2021052312581476909", "Go to Website")</f>
        <v/>
      </c>
      <c r="H297" t="inlineStr"/>
      <c r="I297" t="inlineStr">
        <is>
          <t>100</t>
        </is>
      </c>
      <c r="J297" s="3" t="n">
        <v>1</v>
      </c>
      <c r="K297" t="inlineStr">
        <is>
          <t>분류 제외, 기타</t>
        </is>
      </c>
      <c r="L297" t="inlineStr"/>
      <c r="M297" t="inlineStr"/>
      <c r="N297" t="inlineStr"/>
    </row>
    <row r="298">
      <c r="A298" s="1" t="inlineStr">
        <is>
          <t>2021-05-23</t>
        </is>
      </c>
      <c r="B298" t="inlineStr">
        <is>
          <t>news</t>
        </is>
      </c>
      <c r="C298" t="inlineStr">
        <is>
          <t>economy</t>
        </is>
      </c>
      <c r="D298" t="inlineStr">
        <is>
          <t>파이낸셜뉴스</t>
        </is>
      </c>
      <c r="E298" t="inlineStr">
        <is>
          <t>안승현</t>
        </is>
      </c>
      <c r="F298" t="inlineStr">
        <is>
          <t>최태원, 韓美 경제외교 광폭행보..정상회담 전폭 지원</t>
        </is>
      </c>
      <c r="G298" s="2">
        <f>HYPERLINK("http://www.fnnews.com/news/202105230932060103", "Go to Website")</f>
        <v/>
      </c>
      <c r="H298" t="inlineStr"/>
      <c r="I298" t="inlineStr">
        <is>
          <t>P85</t>
        </is>
      </c>
      <c r="J298" s="3" t="n">
        <v>0.99</v>
      </c>
      <c r="K298" t="inlineStr">
        <is>
          <t>교육 서비스업</t>
        </is>
      </c>
      <c r="L298" t="inlineStr"/>
      <c r="M298" t="inlineStr"/>
      <c r="N298" t="inlineStr"/>
    </row>
    <row r="299">
      <c r="A299" s="1" t="inlineStr">
        <is>
          <t>2021-05-23</t>
        </is>
      </c>
      <c r="B299" t="inlineStr">
        <is>
          <t>news</t>
        </is>
      </c>
      <c r="C299" t="inlineStr">
        <is>
          <t>economy</t>
        </is>
      </c>
      <c r="D299" t="inlineStr">
        <is>
          <t>헤럴드경제</t>
        </is>
      </c>
      <c r="E299" t="inlineStr">
        <is>
          <t>김현일</t>
        </is>
      </c>
      <c r="F299" t="inlineStr">
        <is>
          <t>미국에 돈 푸는 한국 기업들…현지 채용도 계속 증가[TNA]</t>
        </is>
      </c>
      <c r="G299" s="2">
        <f>HYPERLINK("http://news.heraldcorp.com/view.php?ud=20210523000143", "Go to Website")</f>
        <v/>
      </c>
      <c r="H299" t="inlineStr"/>
      <c r="I299" t="inlineStr">
        <is>
          <t>A01</t>
        </is>
      </c>
      <c r="J299" s="3" t="n">
        <v>0.406</v>
      </c>
      <c r="K299" t="inlineStr">
        <is>
          <t>농업</t>
        </is>
      </c>
      <c r="L299" t="inlineStr"/>
      <c r="M299" t="inlineStr"/>
      <c r="N299" t="inlineStr"/>
    </row>
    <row r="300">
      <c r="A300" s="1" t="inlineStr">
        <is>
          <t>2021-05-23</t>
        </is>
      </c>
      <c r="B300" t="inlineStr">
        <is>
          <t>news</t>
        </is>
      </c>
      <c r="C300" t="inlineStr">
        <is>
          <t>economy</t>
        </is>
      </c>
      <c r="D300" t="inlineStr">
        <is>
          <t>이데일리</t>
        </is>
      </c>
      <c r="E300" t="inlineStr">
        <is>
          <t>김정유</t>
        </is>
      </c>
      <c r="F300" t="inlineStr">
        <is>
          <t>무협 “한미정상회담 값진 성과, 제1 경협 파트너 되길 기대”</t>
        </is>
      </c>
      <c r="G300" s="2">
        <f>HYPERLINK("http://www.edaily.co.kr/news/newspath.asp?newsid=01623606629051872", "Go to Website")</f>
        <v/>
      </c>
      <c r="H300" t="inlineStr"/>
      <c r="I300" t="inlineStr">
        <is>
          <t>100</t>
        </is>
      </c>
      <c r="J300" s="3" t="n">
        <v>1</v>
      </c>
      <c r="K300" t="inlineStr">
        <is>
          <t>분류 제외, 기타</t>
        </is>
      </c>
      <c r="L300" t="inlineStr"/>
      <c r="M300" t="inlineStr"/>
      <c r="N300" t="inlineStr"/>
    </row>
    <row r="301">
      <c r="A301" s="1" t="inlineStr">
        <is>
          <t>2021-05-23</t>
        </is>
      </c>
      <c r="B301" t="inlineStr">
        <is>
          <t>news</t>
        </is>
      </c>
      <c r="C301" t="inlineStr">
        <is>
          <t>economy</t>
        </is>
      </c>
      <c r="D301" t="inlineStr">
        <is>
          <t>데일리안</t>
        </is>
      </c>
      <c r="E301" t="inlineStr">
        <is>
          <t>김민희</t>
        </is>
      </c>
      <c r="F301" t="inlineStr">
        <is>
          <t>한국GM, 롯데푸드에 쉐보레 ‘볼트EV’ 공급…법인 수요 공략</t>
        </is>
      </c>
      <c r="G301" s="2">
        <f>HYPERLINK("https://www.dailian.co.kr/news/view/993817/", "Go to Website")</f>
        <v/>
      </c>
      <c r="H301" t="inlineStr"/>
      <c r="I301" t="inlineStr">
        <is>
          <t>M71</t>
        </is>
      </c>
      <c r="J301" s="3" t="n">
        <v>0.507</v>
      </c>
      <c r="K301" t="inlineStr">
        <is>
          <t>전문 서비스업</t>
        </is>
      </c>
      <c r="L301" t="inlineStr">
        <is>
          <t>1</t>
        </is>
      </c>
      <c r="M301" s="3" t="n">
        <v>0.996</v>
      </c>
      <c r="N301" t="inlineStr">
        <is>
          <t>긍정</t>
        </is>
      </c>
    </row>
    <row r="302">
      <c r="A302" s="1" t="inlineStr">
        <is>
          <t>2021-05-23</t>
        </is>
      </c>
      <c r="B302" t="inlineStr">
        <is>
          <t>news</t>
        </is>
      </c>
      <c r="C302" t="inlineStr">
        <is>
          <t>tech</t>
        </is>
      </c>
      <c r="D302" t="inlineStr">
        <is>
          <t>디지털데일리</t>
        </is>
      </c>
      <c r="E302" t="inlineStr">
        <is>
          <t>최민지</t>
        </is>
      </c>
      <c r="F302" t="inlineStr">
        <is>
          <t>최태원 회장, 한‧미 재계 협력 위한 ‘경제외교’</t>
        </is>
      </c>
      <c r="G302" s="2">
        <f>HYPERLINK("http://www.ddaily.co.kr/news/article.html?no=214696", "Go to Website")</f>
        <v/>
      </c>
      <c r="H302" t="inlineStr"/>
      <c r="I302" t="inlineStr"/>
      <c r="J302" t="inlineStr"/>
      <c r="K302" t="inlineStr"/>
      <c r="L302" t="inlineStr"/>
      <c r="M302" t="inlineStr"/>
      <c r="N302" t="inlineStr"/>
    </row>
    <row r="303">
      <c r="A303" s="1" t="inlineStr">
        <is>
          <t>2021-05-23</t>
        </is>
      </c>
      <c r="B303" t="inlineStr">
        <is>
          <t>news</t>
        </is>
      </c>
      <c r="C303" t="inlineStr">
        <is>
          <t>economy</t>
        </is>
      </c>
      <c r="D303" t="inlineStr">
        <is>
          <t>서울경제</t>
        </is>
      </c>
      <c r="E303" t="inlineStr">
        <is>
          <t>한재영</t>
        </is>
      </c>
      <c r="F303" t="inlineStr">
        <is>
          <t>美 재계 만난 최태원 "이해관계자 자본주의·ESG 경영 정착 중요"</t>
        </is>
      </c>
      <c r="G303" s="2">
        <f>HYPERLINK("https://www.sedaily.com/NewsView/22MH0LB7EK", "Go to Website")</f>
        <v/>
      </c>
      <c r="H303" t="inlineStr"/>
      <c r="I303" t="inlineStr">
        <is>
          <t>K64</t>
        </is>
      </c>
      <c r="J303" s="3" t="n">
        <v>0.779</v>
      </c>
      <c r="K303" t="inlineStr">
        <is>
          <t>금융업</t>
        </is>
      </c>
      <c r="L303" t="inlineStr"/>
      <c r="M303" t="inlineStr"/>
      <c r="N303" t="inlineStr"/>
    </row>
    <row r="304">
      <c r="A304" s="1" t="inlineStr">
        <is>
          <t>2021-05-23</t>
        </is>
      </c>
      <c r="B304" t="inlineStr">
        <is>
          <t>news</t>
        </is>
      </c>
      <c r="C304" t="inlineStr">
        <is>
          <t>tech</t>
        </is>
      </c>
      <c r="D304" t="inlineStr">
        <is>
          <t>ZDNet Korea</t>
        </is>
      </c>
      <c r="E304" t="inlineStr">
        <is>
          <t>박영민</t>
        </is>
      </c>
      <c r="F304" t="inlineStr">
        <is>
          <t>최태원 회장, 美 재계 인사들 만나 민간 경제외교 행보</t>
        </is>
      </c>
      <c r="G304" s="2">
        <f>HYPERLINK("https://zdnet.co.kr/view/?no=20210523105347", "Go to Website")</f>
        <v/>
      </c>
      <c r="H304" t="inlineStr"/>
      <c r="I304" t="inlineStr"/>
      <c r="J304" t="inlineStr"/>
      <c r="K304" t="inlineStr"/>
      <c r="L304" t="inlineStr"/>
      <c r="M304" t="inlineStr"/>
      <c r="N304" t="inlineStr"/>
    </row>
    <row r="305">
      <c r="A305" s="1" t="inlineStr">
        <is>
          <t>2021-05-23</t>
        </is>
      </c>
      <c r="B305" t="inlineStr">
        <is>
          <t>news</t>
        </is>
      </c>
      <c r="C305" t="inlineStr">
        <is>
          <t>economy</t>
        </is>
      </c>
      <c r="D305" t="inlineStr">
        <is>
          <t>헤럴드경제</t>
        </is>
      </c>
      <c r="E305" t="inlineStr">
        <is>
          <t>김현일</t>
        </is>
      </c>
      <c r="F305" t="inlineStr">
        <is>
          <t>최태원 대한상의 회장 취임 후 첫 방미…韓 경제 세일즈 주력</t>
        </is>
      </c>
      <c r="G305" s="2">
        <f>HYPERLINK("http://news.heraldcorp.com/view.php?ud=20210523000125", "Go to Website")</f>
        <v/>
      </c>
      <c r="H305" t="inlineStr"/>
      <c r="I305" t="inlineStr">
        <is>
          <t>100</t>
        </is>
      </c>
      <c r="J305" s="3" t="n">
        <v>1</v>
      </c>
      <c r="K305" t="inlineStr">
        <is>
          <t>분류 제외, 기타</t>
        </is>
      </c>
      <c r="L305" t="inlineStr"/>
      <c r="M305" t="inlineStr"/>
      <c r="N305" t="inlineStr"/>
    </row>
    <row r="306">
      <c r="A306" s="1" t="inlineStr">
        <is>
          <t>2021-05-23</t>
        </is>
      </c>
      <c r="B306" t="inlineStr">
        <is>
          <t>news</t>
        </is>
      </c>
      <c r="C306" t="inlineStr">
        <is>
          <t>economy</t>
        </is>
      </c>
      <c r="D306" t="inlineStr">
        <is>
          <t>아이뉴스24</t>
        </is>
      </c>
      <c r="E306" t="inlineStr">
        <is>
          <t>강길홍</t>
        </is>
      </c>
      <c r="F306" t="inlineStr">
        <is>
          <t>'재계 대표' 최태원, 반도체·배터리·바이오 대미 투자 확대 역설</t>
        </is>
      </c>
      <c r="G306" s="2">
        <f>HYPERLINK("http://www.inews24.com/view/1369252", "Go to Website")</f>
        <v/>
      </c>
      <c r="H306" t="inlineStr"/>
      <c r="I306" t="inlineStr">
        <is>
          <t>100</t>
        </is>
      </c>
      <c r="J306" s="3" t="n">
        <v>1</v>
      </c>
      <c r="K306" t="inlineStr">
        <is>
          <t>분류 제외, 기타</t>
        </is>
      </c>
      <c r="L306" t="inlineStr"/>
      <c r="M306" t="inlineStr"/>
      <c r="N306" t="inlineStr"/>
    </row>
    <row r="307">
      <c r="A307" s="1" t="inlineStr">
        <is>
          <t>2021-05-23</t>
        </is>
      </c>
      <c r="B307" t="inlineStr">
        <is>
          <t>news</t>
        </is>
      </c>
      <c r="C307" t="inlineStr">
        <is>
          <t>economy</t>
        </is>
      </c>
      <c r="D307" t="inlineStr">
        <is>
          <t>이데일리</t>
        </is>
      </c>
      <c r="E307" t="inlineStr">
        <is>
          <t>김정유</t>
        </is>
      </c>
      <c r="F307" t="inlineStr">
        <is>
          <t>美 경제외교 이끈 최태원…'재계 대표' 존재감 키운다</t>
        </is>
      </c>
      <c r="G307" s="2">
        <f>HYPERLINK("http://www.edaily.co.kr/news/newspath.asp?newsid=01577686629051872", "Go to Website")</f>
        <v/>
      </c>
      <c r="H307" t="inlineStr"/>
      <c r="I307" t="inlineStr">
        <is>
          <t>100</t>
        </is>
      </c>
      <c r="J307" s="3" t="n">
        <v>0.8149999999999999</v>
      </c>
      <c r="K307" t="inlineStr">
        <is>
          <t>분류 제외, 기타</t>
        </is>
      </c>
      <c r="L307" t="inlineStr"/>
      <c r="M307" t="inlineStr"/>
      <c r="N307" t="inlineStr"/>
    </row>
    <row r="308">
      <c r="A308" s="1" t="inlineStr">
        <is>
          <t>2021-05-23</t>
        </is>
      </c>
      <c r="B308" t="inlineStr">
        <is>
          <t>news</t>
        </is>
      </c>
      <c r="C308" t="inlineStr">
        <is>
          <t>economy</t>
        </is>
      </c>
      <c r="D308" t="inlineStr">
        <is>
          <t>한국일보</t>
        </is>
      </c>
      <c r="E308" t="inlineStr">
        <is>
          <t>박낙호</t>
        </is>
      </c>
      <c r="F308" t="inlineStr">
        <is>
          <t>[자유로 연비] 프랑스에서 온 컴팩트 EV, 르노 조에의 자유로 연비는?</t>
        </is>
      </c>
      <c r="G308" s="2">
        <f>HYPERLINK("https://hankookilbo.com/News/Read/A2021052309250003577?did=NA", "Go to Website")</f>
        <v/>
      </c>
      <c r="H308" t="inlineStr"/>
      <c r="I308" t="inlineStr">
        <is>
          <t>C30</t>
        </is>
      </c>
      <c r="J308" s="3" t="n">
        <v>1</v>
      </c>
      <c r="K308" t="inlineStr">
        <is>
          <t>자동차 및 트레일러 제조업</t>
        </is>
      </c>
      <c r="L308" t="inlineStr">
        <is>
          <t>0</t>
        </is>
      </c>
      <c r="M308" s="3" t="n">
        <v>0.999</v>
      </c>
      <c r="N308" t="inlineStr">
        <is>
          <t>중립</t>
        </is>
      </c>
    </row>
    <row r="309">
      <c r="A309" s="1" t="inlineStr">
        <is>
          <t>2021-05-23</t>
        </is>
      </c>
      <c r="B309" t="inlineStr">
        <is>
          <t>news</t>
        </is>
      </c>
      <c r="C309" t="inlineStr">
        <is>
          <t>economy</t>
        </is>
      </c>
      <c r="D309" t="inlineStr">
        <is>
          <t>디지털타임스</t>
        </is>
      </c>
      <c r="E309" t="inlineStr">
        <is>
          <t>박정일</t>
        </is>
      </c>
      <c r="F309" t="inlineStr">
        <is>
          <t>美서 첫 민간 경제외교 나선 최태원 "한국은 든든한 경제 파트너"</t>
        </is>
      </c>
      <c r="G309" s="2">
        <f>HYPERLINK("http://www.dt.co.kr/contents.html?article_no=2021052302109932781001", "Go to Website")</f>
        <v/>
      </c>
      <c r="H309" t="inlineStr"/>
      <c r="I309" t="inlineStr">
        <is>
          <t>K64</t>
        </is>
      </c>
      <c r="J309" s="3" t="n">
        <v>0.572</v>
      </c>
      <c r="K309" t="inlineStr">
        <is>
          <t>금융업</t>
        </is>
      </c>
      <c r="L309" t="inlineStr"/>
      <c r="M309" t="inlineStr"/>
      <c r="N309" t="inlineStr"/>
    </row>
    <row r="310">
      <c r="A310" s="1" t="inlineStr">
        <is>
          <t>2021-05-23</t>
        </is>
      </c>
      <c r="B310" t="inlineStr">
        <is>
          <t>news</t>
        </is>
      </c>
      <c r="C310" t="inlineStr">
        <is>
          <t>economy</t>
        </is>
      </c>
      <c r="D310" t="inlineStr">
        <is>
          <t>아시아경제</t>
        </is>
      </c>
      <c r="E310" t="inlineStr">
        <is>
          <t>황윤주</t>
        </is>
      </c>
      <c r="F310" t="inlineStr">
        <is>
          <t>최태원 회장 '경제외교' 첫 행보…"ESG 경영 정착해야"</t>
        </is>
      </c>
      <c r="G310" s="2">
        <f>HYPERLINK("https://view.asiae.co.kr/article/2021052310184853458", "Go to Website")</f>
        <v/>
      </c>
      <c r="H310" t="inlineStr"/>
      <c r="I310" t="inlineStr">
        <is>
          <t>100</t>
        </is>
      </c>
      <c r="J310" s="3" t="n">
        <v>1</v>
      </c>
      <c r="K310" t="inlineStr">
        <is>
          <t>분류 제외, 기타</t>
        </is>
      </c>
      <c r="L310" t="inlineStr"/>
      <c r="M310" t="inlineStr"/>
      <c r="N310" t="inlineStr"/>
    </row>
    <row r="311">
      <c r="A311" s="1" t="inlineStr">
        <is>
          <t>2021-05-23</t>
        </is>
      </c>
      <c r="B311" t="inlineStr">
        <is>
          <t>news</t>
        </is>
      </c>
      <c r="C311" t="inlineStr">
        <is>
          <t>economy</t>
        </is>
      </c>
      <c r="D311" t="inlineStr">
        <is>
          <t>뉴시스</t>
        </is>
      </c>
      <c r="E311" t="inlineStr">
        <is>
          <t>박주연</t>
        </is>
      </c>
      <c r="F311" t="inlineStr">
        <is>
          <t>최태원 회장, 美서 한국 경쟁력 강화 위한 경제외교나서</t>
        </is>
      </c>
      <c r="G311" s="2">
        <f>HYPERLINK("http://www.newsis.com/view/?id=NISX20210523_0001449877&amp;cID=13001&amp;pID=13000", "Go to Website")</f>
        <v/>
      </c>
      <c r="H311" t="inlineStr"/>
      <c r="I311" t="inlineStr">
        <is>
          <t>100</t>
        </is>
      </c>
      <c r="J311" s="3" t="n">
        <v>1</v>
      </c>
      <c r="K311" t="inlineStr">
        <is>
          <t>분류 제외, 기타</t>
        </is>
      </c>
      <c r="L311" t="inlineStr"/>
      <c r="M311" t="inlineStr"/>
      <c r="N311" t="inlineStr"/>
    </row>
    <row r="312">
      <c r="A312" s="1" t="inlineStr">
        <is>
          <t>2021-05-23</t>
        </is>
      </c>
      <c r="B312" t="inlineStr">
        <is>
          <t>news</t>
        </is>
      </c>
      <c r="C312" t="inlineStr">
        <is>
          <t>economy</t>
        </is>
      </c>
      <c r="D312" t="inlineStr">
        <is>
          <t>뉴스1</t>
        </is>
      </c>
      <c r="E312" t="inlineStr">
        <is>
          <t>박찬수</t>
        </is>
      </c>
      <c r="F312" t="inlineStr">
        <is>
          <t>배터리 구조 안전성 강화 특허 출원 활발…전기차 안전성 높인다</t>
        </is>
      </c>
      <c r="G312" s="2">
        <f>HYPERLINK("https://www.news1.kr/articles/?4313282", "Go to Website")</f>
        <v/>
      </c>
      <c r="H312" t="inlineStr"/>
      <c r="I312" t="inlineStr">
        <is>
          <t>C28</t>
        </is>
      </c>
      <c r="J312" s="3" t="n">
        <v>0.716</v>
      </c>
      <c r="K312" t="inlineStr">
        <is>
          <t>전기장비 제조업</t>
        </is>
      </c>
      <c r="L312" t="inlineStr"/>
      <c r="M312" t="inlineStr"/>
      <c r="N312" t="inlineStr"/>
    </row>
    <row r="313">
      <c r="A313" s="1" t="inlineStr">
        <is>
          <t>2021-05-23</t>
        </is>
      </c>
      <c r="B313" t="inlineStr">
        <is>
          <t>news</t>
        </is>
      </c>
      <c r="C313" t="inlineStr">
        <is>
          <t>economy</t>
        </is>
      </c>
      <c r="D313" t="inlineStr">
        <is>
          <t>뉴스1</t>
        </is>
      </c>
      <c r="E313" t="inlineStr">
        <is>
          <t>주성호</t>
        </is>
      </c>
      <c r="F313" t="inlineStr">
        <is>
          <t>최태원, 상의 회장 취임 후 처음 美서 '경제외교' 행보</t>
        </is>
      </c>
      <c r="G313" s="2">
        <f>HYPERLINK("https://www.news1.kr/articles/?4314688", "Go to Website")</f>
        <v/>
      </c>
      <c r="H313" t="inlineStr"/>
      <c r="I313" t="inlineStr">
        <is>
          <t>C27</t>
        </is>
      </c>
      <c r="J313" s="3" t="n">
        <v>0.526</v>
      </c>
      <c r="K313" t="inlineStr">
        <is>
          <t>의료, 정밀, 광학 기기 및 시계 제조업</t>
        </is>
      </c>
      <c r="L313" t="inlineStr"/>
      <c r="M313" t="inlineStr"/>
      <c r="N313" t="inlineStr"/>
    </row>
    <row r="314">
      <c r="A314" s="1" t="inlineStr">
        <is>
          <t>2021-05-23</t>
        </is>
      </c>
      <c r="B314" t="inlineStr">
        <is>
          <t>news</t>
        </is>
      </c>
      <c r="C314" t="inlineStr">
        <is>
          <t>economy</t>
        </is>
      </c>
      <c r="D314" t="inlineStr">
        <is>
          <t>머니투데이</t>
        </is>
      </c>
      <c r="E314" t="inlineStr">
        <is>
          <t>최민경</t>
        </is>
      </c>
      <c r="F314" t="inlineStr">
        <is>
          <t>최태원 "한국 기업은 든든한 美경제 파트너"..재계 협력 가속화</t>
        </is>
      </c>
      <c r="G314" s="2">
        <f>HYPERLINK("http://news.mt.co.kr/mtview.php?no=2021052311255582630", "Go to Website")</f>
        <v/>
      </c>
      <c r="H314" t="inlineStr"/>
      <c r="I314" t="inlineStr">
        <is>
          <t>100</t>
        </is>
      </c>
      <c r="J314" s="3" t="n">
        <v>0.973</v>
      </c>
      <c r="K314" t="inlineStr">
        <is>
          <t>분류 제외, 기타</t>
        </is>
      </c>
      <c r="L314" t="inlineStr"/>
      <c r="M314" t="inlineStr"/>
      <c r="N314" t="inlineStr"/>
    </row>
    <row r="315">
      <c r="A315" s="1" t="inlineStr">
        <is>
          <t>2021-05-23</t>
        </is>
      </c>
      <c r="B315" t="inlineStr">
        <is>
          <t>news</t>
        </is>
      </c>
      <c r="C315" t="inlineStr">
        <is>
          <t>economy</t>
        </is>
      </c>
      <c r="D315" t="inlineStr">
        <is>
          <t>연합뉴스</t>
        </is>
      </c>
      <c r="E315" t="inlineStr">
        <is>
          <t>장하나</t>
        </is>
      </c>
      <c r="F315" t="inlineStr">
        <is>
          <t>최태원의 경제외교…대미 네트워크 총동원해 한국경제 '세일즈'</t>
        </is>
      </c>
      <c r="G315" s="2">
        <f>HYPERLINK("http://yna.kr/AKR20210523022800003?did=1195m", "Go to Website")</f>
        <v/>
      </c>
      <c r="H315" t="inlineStr"/>
      <c r="I315" t="inlineStr">
        <is>
          <t>100</t>
        </is>
      </c>
      <c r="J315" s="3" t="n">
        <v>0.997</v>
      </c>
      <c r="K315" t="inlineStr">
        <is>
          <t>분류 제외, 기타</t>
        </is>
      </c>
      <c r="L315" t="inlineStr"/>
      <c r="M315" t="inlineStr"/>
      <c r="N315" t="inlineStr"/>
    </row>
    <row r="316">
      <c r="A316" s="1" t="inlineStr">
        <is>
          <t>2021-05-23</t>
        </is>
      </c>
      <c r="B316" t="inlineStr">
        <is>
          <t>news</t>
        </is>
      </c>
      <c r="C316" t="inlineStr">
        <is>
          <t>economy</t>
        </is>
      </c>
      <c r="D316" t="inlineStr">
        <is>
          <t>연합뉴스</t>
        </is>
      </c>
      <c r="E316" t="inlineStr">
        <is>
          <t>유의주</t>
        </is>
      </c>
      <c r="F316" t="inlineStr">
        <is>
          <t>배터리 기술로 전기차 안전성 높인다…특허출원 급증</t>
        </is>
      </c>
      <c r="G316" s="2">
        <f>HYPERLINK("http://yna.kr/AKR20210522032600063?did=1195m", "Go to Website")</f>
        <v/>
      </c>
      <c r="H316" t="inlineStr"/>
      <c r="I316" t="inlineStr">
        <is>
          <t>C28</t>
        </is>
      </c>
      <c r="J316" s="3" t="n">
        <v>0.966</v>
      </c>
      <c r="K316" t="inlineStr">
        <is>
          <t>전기장비 제조업</t>
        </is>
      </c>
      <c r="L316" t="inlineStr"/>
      <c r="M316" t="inlineStr"/>
      <c r="N316" t="inlineStr"/>
    </row>
    <row r="317">
      <c r="A317" s="1" t="inlineStr">
        <is>
          <t>2021-05-23</t>
        </is>
      </c>
      <c r="B317" t="inlineStr">
        <is>
          <t>news</t>
        </is>
      </c>
      <c r="C317" t="inlineStr">
        <is>
          <t>economy</t>
        </is>
      </c>
      <c r="D317" t="inlineStr">
        <is>
          <t>데일리안</t>
        </is>
      </c>
      <c r="E317" t="inlineStr">
        <is>
          <t>박영국</t>
        </is>
      </c>
      <c r="F317" t="inlineStr">
        <is>
          <t>최태원 상의 회장, 미국서 경제외교·재계 네트워킹 '종횡무진'</t>
        </is>
      </c>
      <c r="G317" s="2">
        <f>HYPERLINK("https://www.dailian.co.kr/news/view/993784/", "Go to Website")</f>
        <v/>
      </c>
      <c r="H317" t="inlineStr"/>
      <c r="I317" t="inlineStr">
        <is>
          <t>100</t>
        </is>
      </c>
      <c r="J317" s="3" t="n">
        <v>0.995</v>
      </c>
      <c r="K317" t="inlineStr">
        <is>
          <t>분류 제외, 기타</t>
        </is>
      </c>
      <c r="L317" t="inlineStr"/>
      <c r="M317" t="inlineStr"/>
      <c r="N317" t="inlineStr"/>
    </row>
    <row r="318">
      <c r="A318" s="1" t="inlineStr">
        <is>
          <t>2021-05-23</t>
        </is>
      </c>
      <c r="B318" t="inlineStr">
        <is>
          <t>news</t>
        </is>
      </c>
      <c r="C318" t="inlineStr">
        <is>
          <t>economy</t>
        </is>
      </c>
      <c r="D318" t="inlineStr">
        <is>
          <t>뉴시스</t>
        </is>
      </c>
      <c r="E318" t="inlineStr">
        <is>
          <t>옥승욱</t>
        </is>
      </c>
      <c r="F318" t="inlineStr">
        <is>
          <t>리튬·흑연 이어 니켈…포스코, 이차전지소재 확보에 박차</t>
        </is>
      </c>
      <c r="G318" s="2">
        <f>HYPERLINK("http://www.newsis.com/view/?id=NISX20210521_0001449041&amp;cID=13001&amp;pID=13000", "Go to Website")</f>
        <v/>
      </c>
      <c r="H318" t="inlineStr"/>
      <c r="I318" t="inlineStr">
        <is>
          <t>100</t>
        </is>
      </c>
      <c r="J318" s="3" t="n">
        <v>0.894</v>
      </c>
      <c r="K318" t="inlineStr">
        <is>
          <t>분류 제외, 기타</t>
        </is>
      </c>
      <c r="L318" t="inlineStr">
        <is>
          <t>1</t>
        </is>
      </c>
      <c r="M318" s="3" t="n">
        <v>0.713</v>
      </c>
      <c r="N318" t="inlineStr">
        <is>
          <t>긍정</t>
        </is>
      </c>
    </row>
    <row r="319">
      <c r="A319" s="1" t="inlineStr">
        <is>
          <t>2021-05-23</t>
        </is>
      </c>
      <c r="B319" t="inlineStr">
        <is>
          <t>news</t>
        </is>
      </c>
      <c r="C319" t="inlineStr">
        <is>
          <t>economy</t>
        </is>
      </c>
      <c r="D319" t="inlineStr">
        <is>
          <t>한국경제TV</t>
        </is>
      </c>
      <c r="E319" t="inlineStr">
        <is>
          <t>양현주</t>
        </is>
      </c>
      <c r="F319" t="inlineStr">
        <is>
          <t>문 대통령, 조지아주 SK 배터리 공장 방문…"한미 함께 도약"</t>
        </is>
      </c>
      <c r="G319" s="2">
        <f>HYPERLINK("http://www.wowtv.co.kr/NewsCenter/News/Read?articleId=A202105230052&amp;t=NN", "Go to Website")</f>
        <v/>
      </c>
      <c r="H319" t="inlineStr"/>
      <c r="I319" t="inlineStr">
        <is>
          <t>100</t>
        </is>
      </c>
      <c r="J319" s="3" t="n">
        <v>0.961</v>
      </c>
      <c r="K319" t="inlineStr">
        <is>
          <t>분류 제외, 기타</t>
        </is>
      </c>
      <c r="L319" t="inlineStr">
        <is>
          <t>0</t>
        </is>
      </c>
      <c r="M319" s="3" t="n">
        <v>0.918</v>
      </c>
      <c r="N319" t="inlineStr">
        <is>
          <t>중립</t>
        </is>
      </c>
    </row>
    <row r="320">
      <c r="A320" s="1" t="inlineStr">
        <is>
          <t>2021-05-23</t>
        </is>
      </c>
      <c r="B320" t="inlineStr">
        <is>
          <t>news</t>
        </is>
      </c>
      <c r="C320" t="inlineStr">
        <is>
          <t>economy</t>
        </is>
      </c>
      <c r="D320" t="inlineStr">
        <is>
          <t>머니투데이</t>
        </is>
      </c>
      <c r="E320" t="inlineStr">
        <is>
          <t>정인지</t>
        </is>
      </c>
      <c r="F320" t="inlineStr">
        <is>
          <t>액티브 ETF로 자산운용사 수익률 '진검 승부' 나선다</t>
        </is>
      </c>
      <c r="G320" s="2">
        <f>HYPERLINK("http://news.mt.co.kr/mtview.php?no=2021052113294633338", "Go to Website")</f>
        <v/>
      </c>
      <c r="H320" t="inlineStr"/>
      <c r="I320" t="inlineStr">
        <is>
          <t>K64</t>
        </is>
      </c>
      <c r="J320" s="3" t="n">
        <v>0.761</v>
      </c>
      <c r="K320" t="inlineStr">
        <is>
          <t>금융업</t>
        </is>
      </c>
      <c r="L320" t="inlineStr">
        <is>
          <t>0</t>
        </is>
      </c>
      <c r="M320" s="3" t="n">
        <v>0.997</v>
      </c>
      <c r="N320" t="inlineStr">
        <is>
          <t>중립</t>
        </is>
      </c>
    </row>
    <row r="321">
      <c r="A321" s="1" t="inlineStr">
        <is>
          <t>2021-05-23</t>
        </is>
      </c>
      <c r="B321" t="inlineStr">
        <is>
          <t>news</t>
        </is>
      </c>
      <c r="C321" t="inlineStr">
        <is>
          <t>economy</t>
        </is>
      </c>
      <c r="D321" t="inlineStr">
        <is>
          <t>뉴스1</t>
        </is>
      </c>
      <c r="E321" t="inlineStr">
        <is>
          <t>박혜연</t>
        </is>
      </c>
      <c r="F321" t="inlineStr">
        <is>
          <t>문대통령 "생각보다 더 빠른 속도" 반색…최태원 "의욕치가 들어간 것"</t>
        </is>
      </c>
      <c r="G321" s="2">
        <f>HYPERLINK("https://www.news1.kr/articles/?4314718", "Go to Website")</f>
        <v/>
      </c>
      <c r="H321" t="inlineStr"/>
      <c r="I321" t="inlineStr">
        <is>
          <t>C27</t>
        </is>
      </c>
      <c r="J321" s="3" t="n">
        <v>0.414</v>
      </c>
      <c r="K321" t="inlineStr">
        <is>
          <t>의료, 정밀, 광학 기기 및 시계 제조업</t>
        </is>
      </c>
      <c r="L321" t="inlineStr"/>
      <c r="M321" t="inlineStr"/>
      <c r="N321" t="inlineStr"/>
    </row>
    <row r="322">
      <c r="A322" s="1" t="inlineStr">
        <is>
          <t>2021-05-23</t>
        </is>
      </c>
      <c r="B322" t="inlineStr">
        <is>
          <t>news</t>
        </is>
      </c>
      <c r="C322" t="inlineStr">
        <is>
          <t>economy</t>
        </is>
      </c>
      <c r="D322" t="inlineStr">
        <is>
          <t>이데일리</t>
        </is>
      </c>
      <c r="E322" t="inlineStr">
        <is>
          <t>김정유</t>
        </is>
      </c>
      <c r="F322" t="inlineStr">
        <is>
          <t>잇단 합작·단독투자 릴레이…美와 연합전선 강화한 K배터리</t>
        </is>
      </c>
      <c r="G322" s="2">
        <f>HYPERLINK("http://www.edaily.co.kr/news/newspath.asp?newsid=01508806629051872", "Go to Website")</f>
        <v/>
      </c>
      <c r="H322" t="inlineStr"/>
      <c r="I322" t="inlineStr">
        <is>
          <t>K64</t>
        </is>
      </c>
      <c r="J322" s="3" t="n">
        <v>0.999</v>
      </c>
      <c r="K322" t="inlineStr">
        <is>
          <t>금융업</t>
        </is>
      </c>
      <c r="L322" t="inlineStr">
        <is>
          <t>1</t>
        </is>
      </c>
      <c r="M322" s="3" t="n">
        <v>0.523</v>
      </c>
      <c r="N322" t="inlineStr">
        <is>
          <t>긍정</t>
        </is>
      </c>
    </row>
    <row r="323">
      <c r="A323" s="1" t="inlineStr">
        <is>
          <t>2021-05-23</t>
        </is>
      </c>
      <c r="B323" t="inlineStr">
        <is>
          <t>news</t>
        </is>
      </c>
      <c r="C323" t="inlineStr">
        <is>
          <t>economy</t>
        </is>
      </c>
      <c r="D323" t="inlineStr">
        <is>
          <t>아시아경제</t>
        </is>
      </c>
      <c r="E323" t="inlineStr">
        <is>
          <t>최대열</t>
        </is>
      </c>
      <c r="F323" t="inlineStr">
        <is>
          <t>SK·포드 美 배터리공장, 북동부? 남부?</t>
        </is>
      </c>
      <c r="G323" s="2">
        <f>HYPERLINK("https://view.asiae.co.kr/article/2021052311202798575", "Go to Website")</f>
        <v/>
      </c>
      <c r="H323" t="inlineStr"/>
      <c r="I323" t="inlineStr">
        <is>
          <t>100</t>
        </is>
      </c>
      <c r="J323" s="3" t="n">
        <v>0.854</v>
      </c>
      <c r="K323" t="inlineStr">
        <is>
          <t>분류 제외, 기타</t>
        </is>
      </c>
      <c r="L323" t="inlineStr"/>
      <c r="M323" t="inlineStr"/>
      <c r="N323" t="inlineStr"/>
    </row>
    <row r="324">
      <c r="A324" s="1" t="inlineStr">
        <is>
          <t>2021-05-23</t>
        </is>
      </c>
      <c r="B324" t="inlineStr">
        <is>
          <t>news</t>
        </is>
      </c>
      <c r="C324" t="inlineStr">
        <is>
          <t>economy</t>
        </is>
      </c>
      <c r="D324" t="inlineStr">
        <is>
          <t>중앙일보</t>
        </is>
      </c>
      <c r="E324" t="inlineStr">
        <is>
          <t>최선욱</t>
        </is>
      </c>
      <c r="F324" t="inlineStr">
        <is>
          <t>文 “기관차도 2년 뒤 배터리로?”…최태원 “의욕치가 있지만”</t>
        </is>
      </c>
      <c r="G324" s="2">
        <f>HYPERLINK("https://news.joins.com/article/olink/23658963", "Go to Website")</f>
        <v/>
      </c>
      <c r="H324" t="inlineStr"/>
      <c r="I324" t="inlineStr">
        <is>
          <t>K64</t>
        </is>
      </c>
      <c r="J324" s="3" t="n">
        <v>0.965</v>
      </c>
      <c r="K324" t="inlineStr">
        <is>
          <t>금융업</t>
        </is>
      </c>
      <c r="L324" t="inlineStr"/>
      <c r="M324" t="inlineStr"/>
      <c r="N324" t="inlineStr"/>
    </row>
    <row r="325">
      <c r="A325" s="1" t="inlineStr">
        <is>
          <t>2021-05-23</t>
        </is>
      </c>
      <c r="B325" t="inlineStr">
        <is>
          <t>news</t>
        </is>
      </c>
      <c r="C325" t="inlineStr">
        <is>
          <t>tech</t>
        </is>
      </c>
      <c r="D325" t="inlineStr">
        <is>
          <t>ZDNet Korea</t>
        </is>
      </c>
      <c r="E325" t="inlineStr">
        <is>
          <t>박영민</t>
        </is>
      </c>
      <c r="F325" t="inlineStr">
        <is>
          <t>문 대통령, SK이노 미국 조지아공장서 "韓배터리, 최고의 파트너"</t>
        </is>
      </c>
      <c r="G325" s="2">
        <f>HYPERLINK("https://zdnet.co.kr/view/?no=20210523110620", "Go to Website")</f>
        <v/>
      </c>
      <c r="H325" t="inlineStr"/>
      <c r="I325" t="inlineStr"/>
      <c r="J325" t="inlineStr"/>
      <c r="K325" t="inlineStr"/>
      <c r="L325" t="inlineStr"/>
      <c r="M325" t="inlineStr"/>
      <c r="N325" t="inlineStr"/>
    </row>
    <row r="326">
      <c r="A326" s="1" t="inlineStr">
        <is>
          <t>2021-05-23</t>
        </is>
      </c>
      <c r="B326" t="inlineStr">
        <is>
          <t>news</t>
        </is>
      </c>
      <c r="C326" t="inlineStr">
        <is>
          <t>economy</t>
        </is>
      </c>
      <c r="D326" t="inlineStr">
        <is>
          <t>서울경제</t>
        </is>
      </c>
      <c r="E326" t="inlineStr">
        <is>
          <t>조지원</t>
        </is>
      </c>
      <c r="F326" t="inlineStr">
        <is>
          <t>4월 전국 항만 물동량 7.4% 증가···미국 수출 증가 영향</t>
        </is>
      </c>
      <c r="G326" s="2">
        <f>HYPERLINK("https://www.sedaily.com/NewsView/22MGZW1TDM", "Go to Website")</f>
        <v/>
      </c>
      <c r="H326" t="inlineStr"/>
      <c r="I326" t="inlineStr">
        <is>
          <t>H52</t>
        </is>
      </c>
      <c r="J326" s="3" t="n">
        <v>0.583</v>
      </c>
      <c r="K326" t="inlineStr">
        <is>
          <t>창고 및 운송관련 서비스업</t>
        </is>
      </c>
      <c r="L326" t="inlineStr"/>
      <c r="M326" t="inlineStr"/>
      <c r="N326" t="inlineStr"/>
    </row>
    <row r="327">
      <c r="A327" s="1" t="inlineStr">
        <is>
          <t>2021-05-23</t>
        </is>
      </c>
      <c r="B327" t="inlineStr">
        <is>
          <t>news</t>
        </is>
      </c>
      <c r="C327" t="inlineStr">
        <is>
          <t>economy</t>
        </is>
      </c>
      <c r="D327" t="inlineStr">
        <is>
          <t>헤럴드경제</t>
        </is>
      </c>
      <c r="E327" t="inlineStr">
        <is>
          <t>정찬수</t>
        </is>
      </c>
      <c r="F327" t="inlineStr">
        <is>
          <t>제네시스 G80 전동화 모델 ‘기대만발’…해외평은? [TNA]</t>
        </is>
      </c>
      <c r="G327" s="2">
        <f>HYPERLINK("http://news.heraldcorp.com/view.php?ud=20210521000782", "Go to Website")</f>
        <v/>
      </c>
      <c r="H327" t="inlineStr"/>
      <c r="I327" t="inlineStr">
        <is>
          <t>C30</t>
        </is>
      </c>
      <c r="J327" s="3" t="n">
        <v>0.998</v>
      </c>
      <c r="K327" t="inlineStr">
        <is>
          <t>자동차 및 트레일러 제조업</t>
        </is>
      </c>
      <c r="L327" t="inlineStr">
        <is>
          <t>1</t>
        </is>
      </c>
      <c r="M327" s="3" t="n">
        <v>0.95</v>
      </c>
      <c r="N327" t="inlineStr">
        <is>
          <t>긍정</t>
        </is>
      </c>
    </row>
    <row r="328">
      <c r="A328" s="1" t="inlineStr">
        <is>
          <t>2021-05-23</t>
        </is>
      </c>
      <c r="B328" t="inlineStr">
        <is>
          <t>news</t>
        </is>
      </c>
      <c r="C328" t="inlineStr">
        <is>
          <t>economy</t>
        </is>
      </c>
      <c r="D328" t="inlineStr">
        <is>
          <t>노컷뉴스</t>
        </is>
      </c>
      <c r="E328" t="inlineStr">
        <is>
          <t>곽영식</t>
        </is>
      </c>
      <c r="F328" t="inlineStr">
        <is>
          <t>4월 항만 수출입 물동량, 전년 동월 대비 7.4%↑</t>
        </is>
      </c>
      <c r="G328" s="2">
        <f>HYPERLINK("https://www.nocutnews.co.kr/news/5557088", "Go to Website")</f>
        <v/>
      </c>
      <c r="H328" t="inlineStr"/>
      <c r="I328" t="inlineStr">
        <is>
          <t>H50</t>
        </is>
      </c>
      <c r="J328" s="3" t="n">
        <v>0.479</v>
      </c>
      <c r="K328" t="inlineStr">
        <is>
          <t>수상 운송업</t>
        </is>
      </c>
      <c r="L328" t="inlineStr"/>
      <c r="M328" t="inlineStr"/>
      <c r="N328" t="inlineStr"/>
    </row>
    <row r="329">
      <c r="A329" s="1" t="inlineStr">
        <is>
          <t>2021-05-23</t>
        </is>
      </c>
      <c r="B329" t="inlineStr">
        <is>
          <t>news</t>
        </is>
      </c>
      <c r="C329" t="inlineStr">
        <is>
          <t>economy</t>
        </is>
      </c>
      <c r="D329" t="inlineStr">
        <is>
          <t>KBS</t>
        </is>
      </c>
      <c r="E329" t="inlineStr"/>
      <c r="F329" t="inlineStr">
        <is>
          <t>전국 무역항 4월 수출입 물동량 7.4%↑…친환경차 수출 증가 영향</t>
        </is>
      </c>
      <c r="G329" s="2">
        <f>HYPERLINK("https://news.kbs.co.kr/news/view.do?ncd=5191738&amp;ref=A", "Go to Website")</f>
        <v/>
      </c>
      <c r="H329" t="inlineStr"/>
      <c r="I329" t="inlineStr">
        <is>
          <t>100</t>
        </is>
      </c>
      <c r="J329" s="3" t="n">
        <v>0.472</v>
      </c>
      <c r="K329" t="inlineStr">
        <is>
          <t>분류 제외, 기타</t>
        </is>
      </c>
      <c r="L329" t="inlineStr"/>
      <c r="M329" t="inlineStr"/>
      <c r="N329" t="inlineStr"/>
    </row>
    <row r="330">
      <c r="A330" s="1" t="inlineStr">
        <is>
          <t>2021-05-23</t>
        </is>
      </c>
      <c r="B330" t="inlineStr">
        <is>
          <t>news</t>
        </is>
      </c>
      <c r="C330" t="inlineStr">
        <is>
          <t>economy</t>
        </is>
      </c>
      <c r="D330" t="inlineStr">
        <is>
          <t>이데일리</t>
        </is>
      </c>
      <c r="E330" t="inlineStr">
        <is>
          <t>한광범</t>
        </is>
      </c>
      <c r="F330" t="inlineStr">
        <is>
          <t>4월 항만 물동량 6.6% 늘어…자동차·석유화학제품 수출 증가효과</t>
        </is>
      </c>
      <c r="G330" s="2">
        <f>HYPERLINK("http://www.edaily.co.kr/news/newspath.asp?newsid=01476006629051872", "Go to Website")</f>
        <v/>
      </c>
      <c r="H330" t="inlineStr"/>
      <c r="I330" t="inlineStr">
        <is>
          <t>100</t>
        </is>
      </c>
      <c r="J330" s="3" t="n">
        <v>0.5600000000000001</v>
      </c>
      <c r="K330" t="inlineStr">
        <is>
          <t>분류 제외, 기타</t>
        </is>
      </c>
      <c r="L330" t="inlineStr"/>
      <c r="M330" t="inlineStr"/>
      <c r="N330" t="inlineStr"/>
    </row>
    <row r="331">
      <c r="A331" s="1" t="inlineStr">
        <is>
          <t>2021-05-23</t>
        </is>
      </c>
      <c r="B331" t="inlineStr">
        <is>
          <t>news</t>
        </is>
      </c>
      <c r="C331" t="inlineStr">
        <is>
          <t>economy</t>
        </is>
      </c>
      <c r="D331" t="inlineStr">
        <is>
          <t>뉴시스</t>
        </is>
      </c>
      <c r="E331" t="inlineStr">
        <is>
          <t>박성환</t>
        </is>
      </c>
      <c r="F331" t="inlineStr">
        <is>
          <t>4월 항만 수출입 물동량 7.4% 증가…"美·中 경기부양 영향"</t>
        </is>
      </c>
      <c r="G331" s="2">
        <f>HYPERLINK("http://www.newsis.com/view/?id=NISX20210521_0001449178&amp;cID=13001&amp;pID=13000", "Go to Website")</f>
        <v/>
      </c>
      <c r="H331" t="inlineStr"/>
      <c r="I331" t="inlineStr">
        <is>
          <t>H52</t>
        </is>
      </c>
      <c r="J331" s="3" t="n">
        <v>0.991</v>
      </c>
      <c r="K331" t="inlineStr">
        <is>
          <t>창고 및 운송관련 서비스업</t>
        </is>
      </c>
      <c r="L331" t="inlineStr"/>
      <c r="M331" t="inlineStr"/>
      <c r="N331" t="inlineStr"/>
    </row>
    <row r="332">
      <c r="A332" s="1" t="inlineStr">
        <is>
          <t>2021-05-23</t>
        </is>
      </c>
      <c r="B332" t="inlineStr">
        <is>
          <t>news</t>
        </is>
      </c>
      <c r="C332" t="inlineStr">
        <is>
          <t>economy</t>
        </is>
      </c>
      <c r="D332" t="inlineStr">
        <is>
          <t>연합뉴스</t>
        </is>
      </c>
      <c r="E332" t="inlineStr">
        <is>
          <t>오예진</t>
        </is>
      </c>
      <c r="F332" t="inlineStr">
        <is>
          <t>4월 항만 수출입 물동량 7.4%↑…자동차 물동량 57.5% 증가</t>
        </is>
      </c>
      <c r="G332" s="2">
        <f>HYPERLINK("http://yna.kr/AKR20210521161400530?did=1195m", "Go to Website")</f>
        <v/>
      </c>
      <c r="H332" t="inlineStr"/>
      <c r="I332" t="inlineStr">
        <is>
          <t>H52</t>
        </is>
      </c>
      <c r="J332" s="3" t="n">
        <v>0.913</v>
      </c>
      <c r="K332" t="inlineStr">
        <is>
          <t>창고 및 운송관련 서비스업</t>
        </is>
      </c>
      <c r="L332" t="inlineStr">
        <is>
          <t>0</t>
        </is>
      </c>
      <c r="M332" s="3" t="n">
        <v>0.618</v>
      </c>
      <c r="N332" t="inlineStr">
        <is>
          <t>중립</t>
        </is>
      </c>
    </row>
    <row r="333">
      <c r="A333" s="1" t="inlineStr">
        <is>
          <t>2021-05-23</t>
        </is>
      </c>
      <c r="B333" t="inlineStr">
        <is>
          <t>news</t>
        </is>
      </c>
      <c r="C333" t="inlineStr">
        <is>
          <t>economy</t>
        </is>
      </c>
      <c r="D333" t="inlineStr">
        <is>
          <t>뉴스1</t>
        </is>
      </c>
      <c r="E333" t="inlineStr">
        <is>
          <t>백승철</t>
        </is>
      </c>
      <c r="F333" t="inlineStr">
        <is>
          <t>주요국 경기회복에 수출입·환적 모두 증가…1월 '컨' 물동량 전년비 5.7%↑</t>
        </is>
      </c>
      <c r="G333" s="2">
        <f>HYPERLINK("https://www.news1.kr/articles/?4314698", "Go to Website")</f>
        <v/>
      </c>
      <c r="H333" t="inlineStr"/>
      <c r="I333" t="inlineStr">
        <is>
          <t>H52</t>
        </is>
      </c>
      <c r="J333" s="3" t="n">
        <v>0.93</v>
      </c>
      <c r="K333" t="inlineStr">
        <is>
          <t>창고 및 운송관련 서비스업</t>
        </is>
      </c>
      <c r="L333" t="inlineStr"/>
      <c r="M333" t="inlineStr"/>
      <c r="N333" t="inlineStr"/>
    </row>
    <row r="334">
      <c r="A334" s="1" t="inlineStr">
        <is>
          <t>2021-05-23</t>
        </is>
      </c>
      <c r="B334" t="inlineStr">
        <is>
          <t>news</t>
        </is>
      </c>
      <c r="C334" t="inlineStr">
        <is>
          <t>economy</t>
        </is>
      </c>
      <c r="D334" t="inlineStr">
        <is>
          <t>이코노미스트</t>
        </is>
      </c>
      <c r="E334" t="inlineStr">
        <is>
          <t>김영은</t>
        </is>
      </c>
      <c r="F334" t="inlineStr">
        <is>
          <t>'없어서 못 파는' 동박, LG‧롯데 광폭 투자 행보</t>
        </is>
      </c>
      <c r="G334" s="2">
        <f>HYPERLINK("https://economist.co.kr/2021/05/23/industry/normal/20210523105100261.html", "Go to Website")</f>
        <v/>
      </c>
      <c r="H334" t="inlineStr"/>
      <c r="I334" t="inlineStr">
        <is>
          <t>C27</t>
        </is>
      </c>
      <c r="J334" s="3" t="n">
        <v>0.555</v>
      </c>
      <c r="K334" t="inlineStr">
        <is>
          <t>의료, 정밀, 광학 기기 및 시계 제조업</t>
        </is>
      </c>
      <c r="L334" t="inlineStr">
        <is>
          <t>0</t>
        </is>
      </c>
      <c r="M334" s="3" t="n">
        <v>0.99</v>
      </c>
      <c r="N334" t="inlineStr">
        <is>
          <t>중립</t>
        </is>
      </c>
    </row>
    <row r="335">
      <c r="A335" s="1" t="inlineStr">
        <is>
          <t>2021-05-23</t>
        </is>
      </c>
      <c r="B335" t="inlineStr">
        <is>
          <t>news</t>
        </is>
      </c>
      <c r="C335" t="inlineStr">
        <is>
          <t>economy</t>
        </is>
      </c>
      <c r="D335" t="inlineStr">
        <is>
          <t>아이뉴스24</t>
        </is>
      </c>
      <c r="E335" t="inlineStr">
        <is>
          <t>강길홍</t>
        </is>
      </c>
      <c r="F335" t="inlineStr">
        <is>
          <t>쉐보레, 롯데푸드에 볼트EV 380여대 공급…법인 수요 공략</t>
        </is>
      </c>
      <c r="G335" s="2">
        <f>HYPERLINK("http://www.inews24.com/view/1369253", "Go to Website")</f>
        <v/>
      </c>
      <c r="H335" t="inlineStr"/>
      <c r="I335" t="inlineStr">
        <is>
          <t>100</t>
        </is>
      </c>
      <c r="J335" s="3" t="n">
        <v>0.434</v>
      </c>
      <c r="K335" t="inlineStr">
        <is>
          <t>분류 제외, 기타</t>
        </is>
      </c>
      <c r="L335" t="inlineStr">
        <is>
          <t>1</t>
        </is>
      </c>
      <c r="M335" s="3" t="n">
        <v>0.995</v>
      </c>
      <c r="N335" t="inlineStr">
        <is>
          <t>긍정</t>
        </is>
      </c>
    </row>
    <row r="336">
      <c r="A336" s="1" t="inlineStr">
        <is>
          <t>2021-05-23</t>
        </is>
      </c>
      <c r="B336" t="inlineStr">
        <is>
          <t>news</t>
        </is>
      </c>
      <c r="C336" t="inlineStr">
        <is>
          <t>economy</t>
        </is>
      </c>
      <c r="D336" t="inlineStr">
        <is>
          <t>서울경제</t>
        </is>
      </c>
      <c r="E336" t="inlineStr">
        <is>
          <t>변수연</t>
        </is>
      </c>
      <c r="F336" t="inlineStr">
        <is>
          <t>쉐보레, 롯데푸드에 순수전기차 380여대 공급</t>
        </is>
      </c>
      <c r="G336" s="2">
        <f>HYPERLINK("https://www.sedaily.com/NewsView/22MH0SOXC6", "Go to Website")</f>
        <v/>
      </c>
      <c r="H336" t="inlineStr"/>
      <c r="I336" t="inlineStr">
        <is>
          <t>100</t>
        </is>
      </c>
      <c r="J336" s="3" t="n">
        <v>0.661</v>
      </c>
      <c r="K336" t="inlineStr">
        <is>
          <t>분류 제외, 기타</t>
        </is>
      </c>
      <c r="L336" t="inlineStr">
        <is>
          <t>1</t>
        </is>
      </c>
      <c r="M336" s="3" t="n">
        <v>0.968</v>
      </c>
      <c r="N336" t="inlineStr">
        <is>
          <t>긍정</t>
        </is>
      </c>
    </row>
    <row r="337">
      <c r="A337" s="1" t="inlineStr">
        <is>
          <t>2021-05-23</t>
        </is>
      </c>
      <c r="B337" t="inlineStr">
        <is>
          <t>news</t>
        </is>
      </c>
      <c r="C337" t="inlineStr">
        <is>
          <t>economy</t>
        </is>
      </c>
      <c r="D337" t="inlineStr">
        <is>
          <t>뉴시스</t>
        </is>
      </c>
      <c r="E337" t="inlineStr">
        <is>
          <t>박주연</t>
        </is>
      </c>
      <c r="F337" t="inlineStr">
        <is>
          <t>한미 공급망 협력 '속도'…반도체·배터리 등 44兆 투자에 美 인센티브 검토</t>
        </is>
      </c>
      <c r="G337" s="2">
        <f>HYPERLINK("http://www.newsis.com/view/?id=NISX20210523_0001449935&amp;cID=13001&amp;pID=13000", "Go to Website")</f>
        <v/>
      </c>
      <c r="H337" t="inlineStr"/>
      <c r="I337" t="inlineStr">
        <is>
          <t>C28</t>
        </is>
      </c>
      <c r="J337" s="3" t="n">
        <v>0.626</v>
      </c>
      <c r="K337" t="inlineStr">
        <is>
          <t>전기장비 제조업</t>
        </is>
      </c>
      <c r="L337" t="inlineStr"/>
      <c r="M337" t="inlineStr"/>
      <c r="N337" t="inlineStr"/>
    </row>
    <row r="338">
      <c r="A338" s="1" t="inlineStr">
        <is>
          <t>2021-05-23</t>
        </is>
      </c>
      <c r="B338" t="inlineStr">
        <is>
          <t>news</t>
        </is>
      </c>
      <c r="C338" t="inlineStr">
        <is>
          <t>economy</t>
        </is>
      </c>
      <c r="D338" t="inlineStr">
        <is>
          <t>연합뉴스</t>
        </is>
      </c>
      <c r="E338" t="inlineStr"/>
      <c r="F338" t="inlineStr">
        <is>
          <t>쉐보레, 롯데푸드에 볼트EV 공급</t>
        </is>
      </c>
      <c r="G338" s="2">
        <f>HYPERLINK("http://yna.kr/PYH20210523035000013?did=1196m", "Go to Website")</f>
        <v/>
      </c>
      <c r="H338" t="inlineStr"/>
      <c r="I338" t="inlineStr">
        <is>
          <t>100</t>
        </is>
      </c>
      <c r="J338" s="3" t="n">
        <v>0.846</v>
      </c>
      <c r="K338" t="inlineStr">
        <is>
          <t>분류 제외, 기타</t>
        </is>
      </c>
      <c r="L338" t="inlineStr">
        <is>
          <t>1</t>
        </is>
      </c>
      <c r="M338" s="3" t="n">
        <v>0.925</v>
      </c>
      <c r="N338" t="inlineStr">
        <is>
          <t>긍정</t>
        </is>
      </c>
    </row>
    <row r="339">
      <c r="A339" s="1" t="inlineStr">
        <is>
          <t>2021-05-23</t>
        </is>
      </c>
      <c r="B339" t="inlineStr">
        <is>
          <t>news</t>
        </is>
      </c>
      <c r="C339" t="inlineStr">
        <is>
          <t>economy</t>
        </is>
      </c>
      <c r="D339" t="inlineStr">
        <is>
          <t>연합뉴스</t>
        </is>
      </c>
      <c r="E339" t="inlineStr"/>
      <c r="F339" t="inlineStr">
        <is>
          <t>쉐보레, 롯데푸드에 볼트EV 공급</t>
        </is>
      </c>
      <c r="G339" s="2">
        <f>HYPERLINK("http://yna.kr/PYH20210523035100013?did=1196m", "Go to Website")</f>
        <v/>
      </c>
      <c r="H339" t="inlineStr"/>
      <c r="I339" t="inlineStr">
        <is>
          <t>100</t>
        </is>
      </c>
      <c r="J339" s="3" t="n">
        <v>0.846</v>
      </c>
      <c r="K339" t="inlineStr">
        <is>
          <t>분류 제외, 기타</t>
        </is>
      </c>
      <c r="L339" t="inlineStr">
        <is>
          <t>1</t>
        </is>
      </c>
      <c r="M339" s="3" t="n">
        <v>0.925</v>
      </c>
      <c r="N339" t="inlineStr">
        <is>
          <t>긍정</t>
        </is>
      </c>
    </row>
    <row r="340">
      <c r="A340" s="1" t="inlineStr">
        <is>
          <t>2021-05-23</t>
        </is>
      </c>
      <c r="B340" t="inlineStr">
        <is>
          <t>news</t>
        </is>
      </c>
      <c r="C340" t="inlineStr">
        <is>
          <t>economy</t>
        </is>
      </c>
      <c r="D340" t="inlineStr">
        <is>
          <t>연합뉴스</t>
        </is>
      </c>
      <c r="E340" t="inlineStr"/>
      <c r="F340" t="inlineStr">
        <is>
          <t>쉐보레, 롯데푸드에 볼트EV 공급</t>
        </is>
      </c>
      <c r="G340" s="2">
        <f>HYPERLINK("http://yna.kr/PYH20210523034900013?did=1196m", "Go to Website")</f>
        <v/>
      </c>
      <c r="H340" t="inlineStr"/>
      <c r="I340" t="inlineStr">
        <is>
          <t>100</t>
        </is>
      </c>
      <c r="J340" s="3" t="n">
        <v>0.794</v>
      </c>
      <c r="K340" t="inlineStr">
        <is>
          <t>분류 제외, 기타</t>
        </is>
      </c>
      <c r="L340" t="inlineStr">
        <is>
          <t>1</t>
        </is>
      </c>
      <c r="M340" s="3" t="n">
        <v>0.925</v>
      </c>
      <c r="N340" t="inlineStr">
        <is>
          <t>긍정</t>
        </is>
      </c>
    </row>
    <row r="341">
      <c r="A341" s="1" t="inlineStr">
        <is>
          <t>2021-05-23</t>
        </is>
      </c>
      <c r="B341" t="inlineStr">
        <is>
          <t>news</t>
        </is>
      </c>
      <c r="C341" t="inlineStr">
        <is>
          <t>economy</t>
        </is>
      </c>
      <c r="D341" t="inlineStr">
        <is>
          <t>SBS Biz</t>
        </is>
      </c>
      <c r="E341" t="inlineStr">
        <is>
          <t>손석우</t>
        </is>
      </c>
      <c r="F341" t="inlineStr">
        <is>
          <t>머스크, 이번에는 '예수님이 개 안고 있는 사진' 트윗</t>
        </is>
      </c>
      <c r="G341" s="2">
        <f>HYPERLINK("https://biz.sbs.co.kr/article_hub/20000016408", "Go to Website")</f>
        <v/>
      </c>
      <c r="H341" t="inlineStr"/>
      <c r="I341" t="inlineStr">
        <is>
          <t>C31</t>
        </is>
      </c>
      <c r="J341" s="3" t="n">
        <v>0.745</v>
      </c>
      <c r="K341" t="inlineStr">
        <is>
          <t>기타 운송장비 제조업</t>
        </is>
      </c>
      <c r="L341" t="inlineStr"/>
      <c r="M341" t="inlineStr"/>
      <c r="N341" t="inlineStr"/>
    </row>
    <row r="342">
      <c r="A342" s="1" t="inlineStr">
        <is>
          <t>2021-05-23</t>
        </is>
      </c>
      <c r="B342" t="inlineStr">
        <is>
          <t>news</t>
        </is>
      </c>
      <c r="C342" t="inlineStr">
        <is>
          <t>economy</t>
        </is>
      </c>
      <c r="D342" t="inlineStr">
        <is>
          <t>매일경제</t>
        </is>
      </c>
      <c r="E342" t="inlineStr">
        <is>
          <t>매경닷컴</t>
        </is>
      </c>
      <c r="F342" t="inlineStr">
        <is>
          <t>입방정 머스크 이번엔 예수 이미지까지 동원…"가상화폐 지지"</t>
        </is>
      </c>
      <c r="G342" s="2">
        <f>HYPERLINK("http://news.mk.co.kr/newsRead.php?no=494566&amp;year=2021", "Go to Website")</f>
        <v/>
      </c>
      <c r="H342" t="inlineStr"/>
      <c r="I342" t="inlineStr">
        <is>
          <t>H52</t>
        </is>
      </c>
      <c r="J342" s="3" t="n">
        <v>0.8179999999999999</v>
      </c>
      <c r="K342" t="inlineStr">
        <is>
          <t>창고 및 운송관련 서비스업</t>
        </is>
      </c>
      <c r="L342" t="inlineStr">
        <is>
          <t>0</t>
        </is>
      </c>
      <c r="M342" s="3" t="n">
        <v>0.995</v>
      </c>
      <c r="N342" t="inlineStr">
        <is>
          <t>중립</t>
        </is>
      </c>
    </row>
    <row r="343">
      <c r="A343" s="1" t="inlineStr">
        <is>
          <t>2021-05-23</t>
        </is>
      </c>
      <c r="B343" t="inlineStr">
        <is>
          <t>news</t>
        </is>
      </c>
      <c r="C343" t="inlineStr">
        <is>
          <t>economy</t>
        </is>
      </c>
      <c r="D343" t="inlineStr">
        <is>
          <t>머니투데이</t>
        </is>
      </c>
      <c r="E343" t="inlineStr">
        <is>
          <t>이강준</t>
        </is>
      </c>
      <c r="F343" t="inlineStr">
        <is>
          <t>롯데푸드 직원 이 전기차는 탄다..쉐보레, 볼트EV 380대 지원</t>
        </is>
      </c>
      <c r="G343" s="2">
        <f>HYPERLINK("http://news.mt.co.kr/mtview.php?no=2021052309431571261", "Go to Website")</f>
        <v/>
      </c>
      <c r="H343" t="inlineStr"/>
      <c r="I343" t="inlineStr">
        <is>
          <t>C10</t>
        </is>
      </c>
      <c r="J343" s="3" t="n">
        <v>0.998</v>
      </c>
      <c r="K343" t="inlineStr">
        <is>
          <t>식료품 제조업</t>
        </is>
      </c>
      <c r="L343" t="inlineStr">
        <is>
          <t>0</t>
        </is>
      </c>
      <c r="M343" s="3" t="n">
        <v>0.901</v>
      </c>
      <c r="N343" t="inlineStr">
        <is>
          <t>중립</t>
        </is>
      </c>
    </row>
    <row r="344">
      <c r="A344" s="1" t="inlineStr">
        <is>
          <t>2021-05-23</t>
        </is>
      </c>
      <c r="B344" t="inlineStr">
        <is>
          <t>news</t>
        </is>
      </c>
      <c r="C344" t="inlineStr">
        <is>
          <t>economy</t>
        </is>
      </c>
      <c r="D344" t="inlineStr">
        <is>
          <t>서울경제</t>
        </is>
      </c>
      <c r="E344" t="inlineStr">
        <is>
          <t>한동희</t>
        </is>
      </c>
      <c r="F344" t="inlineStr">
        <is>
          <t>[Car&amp;Fun] 아우디의 '아이언맨 전기차' 국내 시장 출사표</t>
        </is>
      </c>
      <c r="G344" s="2">
        <f>HYPERLINK("https://www.sedaily.com/NewsView/22MH030DD6", "Go to Website")</f>
        <v/>
      </c>
      <c r="H344" t="inlineStr"/>
      <c r="I344" t="inlineStr">
        <is>
          <t>100</t>
        </is>
      </c>
      <c r="J344" s="3" t="n">
        <v>0.993</v>
      </c>
      <c r="K344" t="inlineStr">
        <is>
          <t>분류 제외, 기타</t>
        </is>
      </c>
      <c r="L344" t="inlineStr"/>
      <c r="M344" t="inlineStr"/>
      <c r="N344" t="inlineStr"/>
    </row>
    <row r="345">
      <c r="A345" s="1" t="inlineStr">
        <is>
          <t>2021-05-23</t>
        </is>
      </c>
      <c r="B345" t="inlineStr">
        <is>
          <t>news</t>
        </is>
      </c>
      <c r="C345" t="inlineStr">
        <is>
          <t>economy</t>
        </is>
      </c>
      <c r="D345" t="inlineStr">
        <is>
          <t>비즈니스워치</t>
        </is>
      </c>
      <c r="E345" t="inlineStr"/>
      <c r="F345" t="inlineStr">
        <is>
          <t>MSCI 편입 '날개 단' HMM, 더 날아갈까</t>
        </is>
      </c>
      <c r="G345" s="2">
        <f>HYPERLINK("http://news.bizwatch.co.kr/article/market/2021/05/21/0021", "Go to Website")</f>
        <v/>
      </c>
      <c r="H345" t="inlineStr"/>
      <c r="I345" t="inlineStr">
        <is>
          <t>H49</t>
        </is>
      </c>
      <c r="J345" s="3" t="n">
        <v>0.6820000000000001</v>
      </c>
      <c r="K345" t="inlineStr">
        <is>
          <t>육상 운송 및 파이프라인 운송업</t>
        </is>
      </c>
      <c r="L345" t="inlineStr">
        <is>
          <t>0</t>
        </is>
      </c>
      <c r="M345" s="3" t="n">
        <v>0.994</v>
      </c>
      <c r="N345" t="inlineStr">
        <is>
          <t>중립</t>
        </is>
      </c>
    </row>
    <row r="346">
      <c r="A346" s="1" t="inlineStr">
        <is>
          <t>2021-05-23</t>
        </is>
      </c>
      <c r="B346" t="inlineStr">
        <is>
          <t>news</t>
        </is>
      </c>
      <c r="C346" t="inlineStr">
        <is>
          <t>economy</t>
        </is>
      </c>
      <c r="D346" t="inlineStr">
        <is>
          <t>한국경제TV</t>
        </is>
      </c>
      <c r="E346" t="inlineStr">
        <is>
          <t>이민재</t>
        </is>
      </c>
      <c r="F346" t="inlineStr">
        <is>
          <t>'한미회담'에 증시 오르나…"모멘텀 vs 선반영"</t>
        </is>
      </c>
      <c r="G346" s="2">
        <f>HYPERLINK("http://www.wowtv.co.kr/NewsCenter/News/Read?articleId=A202105230030&amp;t=NN", "Go to Website")</f>
        <v/>
      </c>
      <c r="H346" t="inlineStr"/>
      <c r="I346" t="inlineStr">
        <is>
          <t>C29</t>
        </is>
      </c>
      <c r="J346" s="3" t="n">
        <v>0.403</v>
      </c>
      <c r="K346" t="inlineStr">
        <is>
          <t>기타 기계 및 장비 제조업</t>
        </is>
      </c>
      <c r="L346" t="inlineStr"/>
      <c r="M346" t="inlineStr"/>
      <c r="N346" t="inlineStr"/>
    </row>
    <row r="347">
      <c r="A347" s="1" t="inlineStr">
        <is>
          <t>2021-05-23</t>
        </is>
      </c>
      <c r="B347" t="inlineStr">
        <is>
          <t>news</t>
        </is>
      </c>
      <c r="C347" t="inlineStr">
        <is>
          <t>economy</t>
        </is>
      </c>
      <c r="D347" t="inlineStr">
        <is>
          <t>연합뉴스</t>
        </is>
      </c>
      <c r="E347" t="inlineStr">
        <is>
          <t>장하나</t>
        </is>
      </c>
      <c r="F347" t="inlineStr">
        <is>
          <t>쉐보레, 롯데푸드에 볼트EV 380여대 공급…"법인 공략"</t>
        </is>
      </c>
      <c r="G347" s="2">
        <f>HYPERLINK("http://yna.kr/AKR20210523015700003?did=1195m", "Go to Website")</f>
        <v/>
      </c>
      <c r="H347" t="inlineStr"/>
      <c r="I347" t="inlineStr">
        <is>
          <t>100</t>
        </is>
      </c>
      <c r="J347" s="3" t="n">
        <v>0.704</v>
      </c>
      <c r="K347" t="inlineStr">
        <is>
          <t>분류 제외, 기타</t>
        </is>
      </c>
      <c r="L347" t="inlineStr">
        <is>
          <t>1</t>
        </is>
      </c>
      <c r="M347" s="3" t="n">
        <v>0.989</v>
      </c>
      <c r="N347" t="inlineStr">
        <is>
          <t>긍정</t>
        </is>
      </c>
    </row>
    <row r="348">
      <c r="A348" s="1" t="inlineStr">
        <is>
          <t>2021-05-23</t>
        </is>
      </c>
      <c r="B348" t="inlineStr">
        <is>
          <t>news</t>
        </is>
      </c>
      <c r="C348" t="inlineStr">
        <is>
          <t>economy</t>
        </is>
      </c>
      <c r="D348" t="inlineStr">
        <is>
          <t>서울경제</t>
        </is>
      </c>
      <c r="E348" t="inlineStr">
        <is>
          <t>허세민</t>
        </is>
      </c>
      <c r="F348" t="inlineStr">
        <is>
          <t>SK 배터리 공장 찾은 文 "한미가 함께 도약"</t>
        </is>
      </c>
      <c r="G348" s="2">
        <f>HYPERLINK("https://www.sedaily.com/NewsView/22MGZUDRW8", "Go to Website")</f>
        <v/>
      </c>
      <c r="H348" t="inlineStr"/>
      <c r="I348" t="inlineStr">
        <is>
          <t>K64</t>
        </is>
      </c>
      <c r="J348" s="3" t="n">
        <v>0.955</v>
      </c>
      <c r="K348" t="inlineStr">
        <is>
          <t>금융업</t>
        </is>
      </c>
      <c r="L348" t="inlineStr">
        <is>
          <t>0</t>
        </is>
      </c>
      <c r="M348" s="3" t="n">
        <v>0.992</v>
      </c>
      <c r="N348" t="inlineStr">
        <is>
          <t>중립</t>
        </is>
      </c>
    </row>
    <row r="349">
      <c r="A349" s="1" t="inlineStr">
        <is>
          <t>2021-05-23</t>
        </is>
      </c>
      <c r="B349" t="inlineStr">
        <is>
          <t>news</t>
        </is>
      </c>
      <c r="C349" t="inlineStr">
        <is>
          <t>economy</t>
        </is>
      </c>
      <c r="D349" t="inlineStr">
        <is>
          <t>파이낸셜뉴스</t>
        </is>
      </c>
      <c r="E349" t="inlineStr">
        <is>
          <t>김병덕</t>
        </is>
      </c>
      <c r="F349" t="inlineStr">
        <is>
          <t>쉐보레, 롯데푸드에 전기차 볼트EV 380대  공급</t>
        </is>
      </c>
      <c r="G349" s="2">
        <f>HYPERLINK("http://www.fnnews.com/news/202105230927502925", "Go to Website")</f>
        <v/>
      </c>
      <c r="H349" t="inlineStr"/>
      <c r="I349" t="inlineStr">
        <is>
          <t>C30</t>
        </is>
      </c>
      <c r="J349" s="3" t="n">
        <v>0.643</v>
      </c>
      <c r="K349" t="inlineStr">
        <is>
          <t>자동차 및 트레일러 제조업</t>
        </is>
      </c>
      <c r="L349" t="inlineStr">
        <is>
          <t>1</t>
        </is>
      </c>
      <c r="M349" s="3" t="n">
        <v>0.922</v>
      </c>
      <c r="N349" t="inlineStr">
        <is>
          <t>긍정</t>
        </is>
      </c>
    </row>
    <row r="350">
      <c r="A350" s="1" t="inlineStr">
        <is>
          <t>2021-05-23</t>
        </is>
      </c>
      <c r="B350" t="inlineStr">
        <is>
          <t>news</t>
        </is>
      </c>
      <c r="C350" t="inlineStr">
        <is>
          <t>economy</t>
        </is>
      </c>
      <c r="D350" t="inlineStr">
        <is>
          <t>뉴시스</t>
        </is>
      </c>
      <c r="E350" t="inlineStr">
        <is>
          <t>박주연</t>
        </is>
      </c>
      <c r="F350" t="inlineStr">
        <is>
          <t>쉐보레, 롯데푸드에 볼트EV 380여대 공급…"법인수요 공략"</t>
        </is>
      </c>
      <c r="G350" s="2">
        <f>HYPERLINK("http://www.newsis.com/view/?id=NISX20210523_0001449873&amp;cID=13001&amp;pID=13000", "Go to Website")</f>
        <v/>
      </c>
      <c r="H350" t="inlineStr"/>
      <c r="I350" t="inlineStr">
        <is>
          <t>100</t>
        </is>
      </c>
      <c r="J350" s="3" t="n">
        <v>0.492</v>
      </c>
      <c r="K350" t="inlineStr">
        <is>
          <t>분류 제외, 기타</t>
        </is>
      </c>
      <c r="L350" t="inlineStr">
        <is>
          <t>1</t>
        </is>
      </c>
      <c r="M350" s="3" t="n">
        <v>0.997</v>
      </c>
      <c r="N350" t="inlineStr">
        <is>
          <t>긍정</t>
        </is>
      </c>
    </row>
    <row r="351">
      <c r="A351" s="1" t="inlineStr">
        <is>
          <t>2021-05-23</t>
        </is>
      </c>
      <c r="B351" t="inlineStr">
        <is>
          <t>news</t>
        </is>
      </c>
      <c r="C351" t="inlineStr">
        <is>
          <t>economy</t>
        </is>
      </c>
      <c r="D351" t="inlineStr">
        <is>
          <t>아시아경제</t>
        </is>
      </c>
      <c r="E351" t="inlineStr">
        <is>
          <t>이창환</t>
        </is>
      </c>
      <c r="F351" t="inlineStr">
        <is>
          <t>쉐보레, 롯데푸드에 볼트EV 공급 "법인 고객 확대"</t>
        </is>
      </c>
      <c r="G351" s="2">
        <f>HYPERLINK("https://view.asiae.co.kr/article/2021052309221570566", "Go to Website")</f>
        <v/>
      </c>
      <c r="H351" t="inlineStr"/>
      <c r="I351" t="inlineStr">
        <is>
          <t>C10</t>
        </is>
      </c>
      <c r="J351" s="3" t="n">
        <v>0.728</v>
      </c>
      <c r="K351" t="inlineStr">
        <is>
          <t>식료품 제조업</t>
        </is>
      </c>
      <c r="L351" t="inlineStr">
        <is>
          <t>1</t>
        </is>
      </c>
      <c r="M351" s="3" t="n">
        <v>0.803</v>
      </c>
      <c r="N351" t="inlineStr">
        <is>
          <t>긍정</t>
        </is>
      </c>
    </row>
    <row r="352">
      <c r="A352" s="1" t="inlineStr">
        <is>
          <t>2021-05-23</t>
        </is>
      </c>
      <c r="B352" t="inlineStr">
        <is>
          <t>news</t>
        </is>
      </c>
      <c r="C352" t="inlineStr">
        <is>
          <t>economy</t>
        </is>
      </c>
      <c r="D352" t="inlineStr">
        <is>
          <t>뉴시스</t>
        </is>
      </c>
      <c r="E352" t="inlineStr">
        <is>
          <t>추상철</t>
        </is>
      </c>
      <c r="F352" t="inlineStr">
        <is>
          <t>문재인 대통령, 영접나온 최태원 회장과 브라이언 켐프 조지아 주지사와 인사</t>
        </is>
      </c>
      <c r="G352" s="2">
        <f>HYPERLINK("http://www.newsis.com/view/?id=NISI20210523_0017483081", "Go to Website")</f>
        <v/>
      </c>
      <c r="H352" t="inlineStr"/>
      <c r="I352" t="inlineStr">
        <is>
          <t>C30</t>
        </is>
      </c>
      <c r="J352" s="3" t="n">
        <v>0.739</v>
      </c>
      <c r="K352" t="inlineStr">
        <is>
          <t>자동차 및 트레일러 제조업</t>
        </is>
      </c>
      <c r="L352" t="inlineStr">
        <is>
          <t>0</t>
        </is>
      </c>
      <c r="M352" s="3" t="n">
        <v>0.999</v>
      </c>
      <c r="N352" t="inlineStr">
        <is>
          <t>중립</t>
        </is>
      </c>
    </row>
    <row r="353">
      <c r="A353" s="1" t="inlineStr">
        <is>
          <t>2021-05-23</t>
        </is>
      </c>
      <c r="B353" t="inlineStr">
        <is>
          <t>news</t>
        </is>
      </c>
      <c r="C353" t="inlineStr">
        <is>
          <t>economy</t>
        </is>
      </c>
      <c r="D353" t="inlineStr">
        <is>
          <t>뉴시스</t>
        </is>
      </c>
      <c r="E353" t="inlineStr">
        <is>
          <t>추상철</t>
        </is>
      </c>
      <c r="F353" t="inlineStr">
        <is>
          <t>전기차 배터리 재료 설명듣는 문재인 대통령</t>
        </is>
      </c>
      <c r="G353" s="2">
        <f>HYPERLINK("http://www.newsis.com/view/?id=NISI20210523_0017483083", "Go to Website")</f>
        <v/>
      </c>
      <c r="H353" t="inlineStr"/>
      <c r="I353" t="inlineStr">
        <is>
          <t>100</t>
        </is>
      </c>
      <c r="J353" s="3" t="n">
        <v>0.877</v>
      </c>
      <c r="K353" t="inlineStr">
        <is>
          <t>분류 제외, 기타</t>
        </is>
      </c>
      <c r="L353" t="inlineStr">
        <is>
          <t>0</t>
        </is>
      </c>
      <c r="M353" s="3" t="n">
        <v>0.917</v>
      </c>
      <c r="N353" t="inlineStr">
        <is>
          <t>중립</t>
        </is>
      </c>
    </row>
    <row r="354">
      <c r="A354" s="1" t="inlineStr">
        <is>
          <t>2021-05-23</t>
        </is>
      </c>
      <c r="B354" t="inlineStr">
        <is>
          <t>news</t>
        </is>
      </c>
      <c r="C354" t="inlineStr">
        <is>
          <t>economy</t>
        </is>
      </c>
      <c r="D354" t="inlineStr">
        <is>
          <t>뉴시스</t>
        </is>
      </c>
      <c r="E354" t="inlineStr">
        <is>
          <t>추상철</t>
        </is>
      </c>
      <c r="F354" t="inlineStr">
        <is>
          <t>미국 조지아주 SK이노베이션 전기차 배터리공장 방문한 문재인 대통령</t>
        </is>
      </c>
      <c r="G354" s="2">
        <f>HYPERLINK("http://www.newsis.com/view/?id=NISI20210523_0017483077", "Go to Website")</f>
        <v/>
      </c>
      <c r="H354" t="inlineStr"/>
      <c r="I354" t="inlineStr">
        <is>
          <t>J61</t>
        </is>
      </c>
      <c r="J354" s="3" t="n">
        <v>0.823</v>
      </c>
      <c r="K354" t="inlineStr">
        <is>
          <t>우편 및 통신업</t>
        </is>
      </c>
      <c r="L354" t="inlineStr">
        <is>
          <t>0</t>
        </is>
      </c>
      <c r="M354" s="3" t="n">
        <v>0.875</v>
      </c>
      <c r="N354" t="inlineStr">
        <is>
          <t>중립</t>
        </is>
      </c>
    </row>
    <row r="355">
      <c r="A355" s="1" t="inlineStr">
        <is>
          <t>2021-05-23</t>
        </is>
      </c>
      <c r="B355" t="inlineStr">
        <is>
          <t>news</t>
        </is>
      </c>
      <c r="C355" t="inlineStr">
        <is>
          <t>economy</t>
        </is>
      </c>
      <c r="D355" t="inlineStr">
        <is>
          <t>뉴시스</t>
        </is>
      </c>
      <c r="E355" t="inlineStr">
        <is>
          <t>추상철</t>
        </is>
      </c>
      <c r="F355" t="inlineStr">
        <is>
          <t>미국 조지아주 SK이노베이션 전기차 배터리공장 방문한 문재인 대통령</t>
        </is>
      </c>
      <c r="G355" s="2">
        <f>HYPERLINK("http://www.newsis.com/view/?id=NISI20210523_0017483073", "Go to Website")</f>
        <v/>
      </c>
      <c r="H355" t="inlineStr"/>
      <c r="I355" t="inlineStr">
        <is>
          <t>J61</t>
        </is>
      </c>
      <c r="J355" s="3" t="n">
        <v>0.823</v>
      </c>
      <c r="K355" t="inlineStr">
        <is>
          <t>우편 및 통신업</t>
        </is>
      </c>
      <c r="L355" t="inlineStr">
        <is>
          <t>0</t>
        </is>
      </c>
      <c r="M355" s="3" t="n">
        <v>0.875</v>
      </c>
      <c r="N355" t="inlineStr">
        <is>
          <t>중립</t>
        </is>
      </c>
    </row>
    <row r="356">
      <c r="A356" s="1" t="inlineStr">
        <is>
          <t>2021-05-23</t>
        </is>
      </c>
      <c r="B356" t="inlineStr">
        <is>
          <t>news</t>
        </is>
      </c>
      <c r="C356" t="inlineStr">
        <is>
          <t>economy</t>
        </is>
      </c>
      <c r="D356" t="inlineStr">
        <is>
          <t>뉴시스</t>
        </is>
      </c>
      <c r="E356" t="inlineStr">
        <is>
          <t>추상철</t>
        </is>
      </c>
      <c r="F356" t="inlineStr">
        <is>
          <t>인사말 하는 문재인 대통령</t>
        </is>
      </c>
      <c r="G356" s="2">
        <f>HYPERLINK("http://www.newsis.com/view/?id=NISI20210523_0017483070", "Go to Website")</f>
        <v/>
      </c>
      <c r="H356" t="inlineStr"/>
      <c r="I356" t="inlineStr">
        <is>
          <t>100</t>
        </is>
      </c>
      <c r="J356" s="3" t="n">
        <v>0.955</v>
      </c>
      <c r="K356" t="inlineStr">
        <is>
          <t>분류 제외, 기타</t>
        </is>
      </c>
      <c r="L356" t="inlineStr">
        <is>
          <t>0</t>
        </is>
      </c>
      <c r="M356" s="3" t="n">
        <v>0.996</v>
      </c>
      <c r="N356" t="inlineStr">
        <is>
          <t>중립</t>
        </is>
      </c>
    </row>
    <row r="357">
      <c r="A357" s="1" t="inlineStr">
        <is>
          <t>2021-05-23</t>
        </is>
      </c>
      <c r="B357" t="inlineStr">
        <is>
          <t>news</t>
        </is>
      </c>
      <c r="C357" t="inlineStr">
        <is>
          <t>economy</t>
        </is>
      </c>
      <c r="D357" t="inlineStr">
        <is>
          <t>뉴시스</t>
        </is>
      </c>
      <c r="E357" t="inlineStr">
        <is>
          <t>추상철</t>
        </is>
      </c>
      <c r="F357" t="inlineStr">
        <is>
          <t>배터리 재료 설명듣는 문재인 대통령</t>
        </is>
      </c>
      <c r="G357" s="2">
        <f>HYPERLINK("http://www.newsis.com/view/?id=NISI20210523_0017483067", "Go to Website")</f>
        <v/>
      </c>
      <c r="H357" t="inlineStr"/>
      <c r="I357" t="inlineStr">
        <is>
          <t>100</t>
        </is>
      </c>
      <c r="J357" s="3" t="n">
        <v>0.574</v>
      </c>
      <c r="K357" t="inlineStr">
        <is>
          <t>분류 제외, 기타</t>
        </is>
      </c>
      <c r="L357" t="inlineStr">
        <is>
          <t>0</t>
        </is>
      </c>
      <c r="M357" s="3" t="n">
        <v>0.909</v>
      </c>
      <c r="N357" t="inlineStr">
        <is>
          <t>중립</t>
        </is>
      </c>
    </row>
    <row r="358">
      <c r="A358" s="1" t="inlineStr">
        <is>
          <t>2021-05-23</t>
        </is>
      </c>
      <c r="B358" t="inlineStr">
        <is>
          <t>news</t>
        </is>
      </c>
      <c r="C358" t="inlineStr">
        <is>
          <t>economy</t>
        </is>
      </c>
      <c r="D358" t="inlineStr">
        <is>
          <t>뉴시스</t>
        </is>
      </c>
      <c r="E358" t="inlineStr">
        <is>
          <t>추상철</t>
        </is>
      </c>
      <c r="F358" t="inlineStr">
        <is>
          <t>직원들과 이야기 나누는 문재인 대통령</t>
        </is>
      </c>
      <c r="G358" s="2">
        <f>HYPERLINK("http://www.newsis.com/view/?id=NISI20210523_0017483064", "Go to Website")</f>
        <v/>
      </c>
      <c r="H358" t="inlineStr"/>
      <c r="I358" t="inlineStr">
        <is>
          <t>100</t>
        </is>
      </c>
      <c r="J358" s="3" t="n">
        <v>0.905</v>
      </c>
      <c r="K358" t="inlineStr">
        <is>
          <t>분류 제외, 기타</t>
        </is>
      </c>
      <c r="L358" t="inlineStr">
        <is>
          <t>0</t>
        </is>
      </c>
      <c r="M358" s="3" t="n">
        <v>0.999</v>
      </c>
      <c r="N358" t="inlineStr">
        <is>
          <t>중립</t>
        </is>
      </c>
    </row>
    <row r="359">
      <c r="A359" s="1" t="inlineStr">
        <is>
          <t>2021-05-23</t>
        </is>
      </c>
      <c r="B359" t="inlineStr">
        <is>
          <t>news</t>
        </is>
      </c>
      <c r="C359" t="inlineStr">
        <is>
          <t>economy</t>
        </is>
      </c>
      <c r="D359" t="inlineStr">
        <is>
          <t>뉴시스</t>
        </is>
      </c>
      <c r="E359" t="inlineStr">
        <is>
          <t>추상철</t>
        </is>
      </c>
      <c r="F359" t="inlineStr">
        <is>
          <t>설명듣는 문재인 대통령</t>
        </is>
      </c>
      <c r="G359" s="2">
        <f>HYPERLINK("http://www.newsis.com/view/?id=NISI20210523_0017483066", "Go to Website")</f>
        <v/>
      </c>
      <c r="H359" t="inlineStr"/>
      <c r="I359" t="inlineStr">
        <is>
          <t>100</t>
        </is>
      </c>
      <c r="J359" s="3" t="n">
        <v>0.973</v>
      </c>
      <c r="K359" t="inlineStr">
        <is>
          <t>분류 제외, 기타</t>
        </is>
      </c>
      <c r="L359" t="inlineStr">
        <is>
          <t>0</t>
        </is>
      </c>
      <c r="M359" s="3" t="n">
        <v>0.993</v>
      </c>
      <c r="N359" t="inlineStr">
        <is>
          <t>중립</t>
        </is>
      </c>
    </row>
    <row r="360">
      <c r="A360" s="1" t="inlineStr">
        <is>
          <t>2021-05-23</t>
        </is>
      </c>
      <c r="B360" t="inlineStr">
        <is>
          <t>news</t>
        </is>
      </c>
      <c r="C360" t="inlineStr">
        <is>
          <t>economy</t>
        </is>
      </c>
      <c r="D360" t="inlineStr">
        <is>
          <t>뉴시스</t>
        </is>
      </c>
      <c r="E360" t="inlineStr">
        <is>
          <t>추상철</t>
        </is>
      </c>
      <c r="F360" t="inlineStr">
        <is>
          <t>SK이노베이션 조지아공장 시찰하는 문재인 대통령</t>
        </is>
      </c>
      <c r="G360" s="2">
        <f>HYPERLINK("http://www.newsis.com/view/?id=NISI20210523_0017483058", "Go to Website")</f>
        <v/>
      </c>
      <c r="H360" t="inlineStr"/>
      <c r="I360" t="inlineStr">
        <is>
          <t>K64</t>
        </is>
      </c>
      <c r="J360" s="3" t="n">
        <v>0.695</v>
      </c>
      <c r="K360" t="inlineStr">
        <is>
          <t>금융업</t>
        </is>
      </c>
      <c r="L360" t="inlineStr">
        <is>
          <t>0</t>
        </is>
      </c>
      <c r="M360" s="3" t="n">
        <v>0.961</v>
      </c>
      <c r="N360" t="inlineStr">
        <is>
          <t>중립</t>
        </is>
      </c>
    </row>
    <row r="361">
      <c r="A361" s="1" t="inlineStr">
        <is>
          <t>2021-05-23</t>
        </is>
      </c>
      <c r="B361" t="inlineStr">
        <is>
          <t>news</t>
        </is>
      </c>
      <c r="C361" t="inlineStr">
        <is>
          <t>economy</t>
        </is>
      </c>
      <c r="D361" t="inlineStr">
        <is>
          <t>뉴시스</t>
        </is>
      </c>
      <c r="E361" t="inlineStr">
        <is>
          <t>추상철</t>
        </is>
      </c>
      <c r="F361" t="inlineStr">
        <is>
          <t>SK이노베이션 조지아공장 시찰하는 문재인 대통령과 최태원 회장</t>
        </is>
      </c>
      <c r="G361" s="2">
        <f>HYPERLINK("http://www.newsis.com/view/?id=NISI20210523_0017483056", "Go to Website")</f>
        <v/>
      </c>
      <c r="H361" t="inlineStr"/>
      <c r="I361" t="inlineStr">
        <is>
          <t>K64</t>
        </is>
      </c>
      <c r="J361" s="3" t="n">
        <v>0.701</v>
      </c>
      <c r="K361" t="inlineStr">
        <is>
          <t>금융업</t>
        </is>
      </c>
      <c r="L361" t="inlineStr">
        <is>
          <t>0</t>
        </is>
      </c>
      <c r="M361" s="3" t="n">
        <v>0.984</v>
      </c>
      <c r="N361" t="inlineStr">
        <is>
          <t>중립</t>
        </is>
      </c>
    </row>
    <row r="362">
      <c r="A362" s="1" t="inlineStr">
        <is>
          <t>2021-05-23</t>
        </is>
      </c>
      <c r="B362" t="inlineStr">
        <is>
          <t>news</t>
        </is>
      </c>
      <c r="C362" t="inlineStr">
        <is>
          <t>economy</t>
        </is>
      </c>
      <c r="D362" t="inlineStr">
        <is>
          <t>뉴시스</t>
        </is>
      </c>
      <c r="E362" t="inlineStr">
        <is>
          <t>추상철</t>
        </is>
      </c>
      <c r="F362" t="inlineStr">
        <is>
          <t>인사말 하는 문재인 대통령</t>
        </is>
      </c>
      <c r="G362" s="2">
        <f>HYPERLINK("http://www.newsis.com/view/?id=NISI20210523_0017483071", "Go to Website")</f>
        <v/>
      </c>
      <c r="H362" t="inlineStr"/>
      <c r="I362" t="inlineStr">
        <is>
          <t>100</t>
        </is>
      </c>
      <c r="J362" s="3" t="n">
        <v>0.955</v>
      </c>
      <c r="K362" t="inlineStr">
        <is>
          <t>분류 제외, 기타</t>
        </is>
      </c>
      <c r="L362" t="inlineStr">
        <is>
          <t>0</t>
        </is>
      </c>
      <c r="M362" s="3" t="n">
        <v>0.996</v>
      </c>
      <c r="N362" t="inlineStr">
        <is>
          <t>중립</t>
        </is>
      </c>
    </row>
    <row r="363">
      <c r="A363" s="1" t="inlineStr">
        <is>
          <t>2021-05-23</t>
        </is>
      </c>
      <c r="B363" t="inlineStr">
        <is>
          <t>news</t>
        </is>
      </c>
      <c r="C363" t="inlineStr">
        <is>
          <t>economy</t>
        </is>
      </c>
      <c r="D363" t="inlineStr">
        <is>
          <t>뉴시스</t>
        </is>
      </c>
      <c r="E363" t="inlineStr">
        <is>
          <t>추상철</t>
        </is>
      </c>
      <c r="F363" t="inlineStr">
        <is>
          <t>SK이노베이션 전기차 배터리공장 시찰하는 문재인 대통령</t>
        </is>
      </c>
      <c r="G363" s="2">
        <f>HYPERLINK("http://www.newsis.com/view/?id=NISI20210523_0017483063", "Go to Website")</f>
        <v/>
      </c>
      <c r="H363" t="inlineStr"/>
      <c r="I363" t="inlineStr">
        <is>
          <t>100</t>
        </is>
      </c>
      <c r="J363" s="3" t="n">
        <v>0.647</v>
      </c>
      <c r="K363" t="inlineStr">
        <is>
          <t>분류 제외, 기타</t>
        </is>
      </c>
      <c r="L363" t="inlineStr">
        <is>
          <t>0</t>
        </is>
      </c>
      <c r="M363" s="3" t="n">
        <v>0.879</v>
      </c>
      <c r="N363" t="inlineStr">
        <is>
          <t>중립</t>
        </is>
      </c>
    </row>
    <row r="364">
      <c r="A364" s="1" t="inlineStr">
        <is>
          <t>2021-05-23</t>
        </is>
      </c>
      <c r="B364" t="inlineStr">
        <is>
          <t>news</t>
        </is>
      </c>
      <c r="C364" t="inlineStr">
        <is>
          <t>economy</t>
        </is>
      </c>
      <c r="D364" t="inlineStr">
        <is>
          <t>뉴시스</t>
        </is>
      </c>
      <c r="E364" t="inlineStr">
        <is>
          <t>추상철</t>
        </is>
      </c>
      <c r="F364" t="inlineStr">
        <is>
          <t>인사말 하는 문재인 대통령</t>
        </is>
      </c>
      <c r="G364" s="2">
        <f>HYPERLINK("http://www.newsis.com/view/?id=NISI20210523_0017483074", "Go to Website")</f>
        <v/>
      </c>
      <c r="H364" t="inlineStr"/>
      <c r="I364" t="inlineStr">
        <is>
          <t>100</t>
        </is>
      </c>
      <c r="J364" s="3" t="n">
        <v>0.955</v>
      </c>
      <c r="K364" t="inlineStr">
        <is>
          <t>분류 제외, 기타</t>
        </is>
      </c>
      <c r="L364" t="inlineStr">
        <is>
          <t>0</t>
        </is>
      </c>
      <c r="M364" s="3" t="n">
        <v>0.996</v>
      </c>
      <c r="N364" t="inlineStr">
        <is>
          <t>중립</t>
        </is>
      </c>
    </row>
    <row r="365">
      <c r="A365" s="1" t="inlineStr">
        <is>
          <t>2021-05-23</t>
        </is>
      </c>
      <c r="B365" t="inlineStr">
        <is>
          <t>news</t>
        </is>
      </c>
      <c r="C365" t="inlineStr">
        <is>
          <t>economy</t>
        </is>
      </c>
      <c r="D365" t="inlineStr">
        <is>
          <t>파이낸셜뉴스</t>
        </is>
      </c>
      <c r="E365" t="inlineStr">
        <is>
          <t>송경재</t>
        </is>
      </c>
      <c r="F365" t="inlineStr">
        <is>
          <t>중국, 배터리 대체 소재 망간 공급 고삐죈다</t>
        </is>
      </c>
      <c r="G365" s="2">
        <f>HYPERLINK("http://www.fnnews.com/news/202105230903070982", "Go to Website")</f>
        <v/>
      </c>
      <c r="H365" t="inlineStr"/>
      <c r="I365" t="inlineStr">
        <is>
          <t>B06</t>
        </is>
      </c>
      <c r="J365" s="3" t="n">
        <v>1</v>
      </c>
      <c r="K365" t="inlineStr">
        <is>
          <t>금속 광업</t>
        </is>
      </c>
      <c r="L365" t="inlineStr">
        <is>
          <t>0</t>
        </is>
      </c>
      <c r="M365" s="3" t="n">
        <v>0.715</v>
      </c>
      <c r="N365" t="inlineStr">
        <is>
          <t>중립</t>
        </is>
      </c>
    </row>
    <row r="366">
      <c r="A366" s="1" t="inlineStr">
        <is>
          <t>2021-05-23</t>
        </is>
      </c>
      <c r="B366" t="inlineStr">
        <is>
          <t>news</t>
        </is>
      </c>
      <c r="C366" t="inlineStr">
        <is>
          <t>economy</t>
        </is>
      </c>
      <c r="D366" t="inlineStr">
        <is>
          <t>뉴시스</t>
        </is>
      </c>
      <c r="E366" t="inlineStr">
        <is>
          <t>안채원</t>
        </is>
      </c>
      <c r="F366" t="inlineStr">
        <is>
          <t>SK배터리 방문 文 "韓, 최고의 파트너…美인센티브시 더 투자"(종합)</t>
        </is>
      </c>
      <c r="G366" s="2">
        <f>HYPERLINK("http://www.newsis.com/view/?id=NISX20210523_0001449845&amp;cID=10301&amp;pID=10300", "Go to Website")</f>
        <v/>
      </c>
      <c r="H366" t="inlineStr"/>
      <c r="I366" t="inlineStr">
        <is>
          <t>K64</t>
        </is>
      </c>
      <c r="J366" s="3" t="n">
        <v>0.796</v>
      </c>
      <c r="K366" t="inlineStr">
        <is>
          <t>금융업</t>
        </is>
      </c>
      <c r="L366" t="inlineStr"/>
      <c r="M366" t="inlineStr"/>
      <c r="N366" t="inlineStr"/>
    </row>
    <row r="367">
      <c r="A367" s="1" t="inlineStr">
        <is>
          <t>2021-05-23</t>
        </is>
      </c>
      <c r="B367" t="inlineStr">
        <is>
          <t>news</t>
        </is>
      </c>
      <c r="C367" t="inlineStr">
        <is>
          <t>economy</t>
        </is>
      </c>
      <c r="D367" t="inlineStr">
        <is>
          <t>SBS Biz</t>
        </is>
      </c>
      <c r="E367" t="inlineStr">
        <is>
          <t>손석우</t>
        </is>
      </c>
      <c r="F367" t="inlineStr">
        <is>
          <t>문 대통령, SK이노베이션 美 배터리 공장 시찰…"한국 기업들은 최고의 파트너"</t>
        </is>
      </c>
      <c r="G367" s="2">
        <f>HYPERLINK("https://biz.sbs.co.kr/article_hub/20000016397", "Go to Website")</f>
        <v/>
      </c>
      <c r="H367" t="inlineStr"/>
      <c r="I367" t="inlineStr">
        <is>
          <t>K64</t>
        </is>
      </c>
      <c r="J367" s="3" t="n">
        <v>0.989</v>
      </c>
      <c r="K367" t="inlineStr">
        <is>
          <t>금융업</t>
        </is>
      </c>
      <c r="L367" t="inlineStr">
        <is>
          <t>0</t>
        </is>
      </c>
      <c r="M367" s="3" t="n">
        <v>0.757</v>
      </c>
      <c r="N367" t="inlineStr">
        <is>
          <t>중립</t>
        </is>
      </c>
    </row>
    <row r="368">
      <c r="A368" s="1" t="inlineStr">
        <is>
          <t>2021-05-23</t>
        </is>
      </c>
      <c r="B368" t="inlineStr">
        <is>
          <t>news</t>
        </is>
      </c>
      <c r="C368" t="inlineStr">
        <is>
          <t>economy</t>
        </is>
      </c>
      <c r="D368" t="inlineStr">
        <is>
          <t>중앙일보</t>
        </is>
      </c>
      <c r="E368" t="inlineStr">
        <is>
          <t>김영민</t>
        </is>
      </c>
      <c r="F368" t="inlineStr">
        <is>
          <t>'보조금 없는' 럭셔리 전기차 시장…G80 이어 獨3사도 가세</t>
        </is>
      </c>
      <c r="G368" s="2">
        <f>HYPERLINK("https://news.joins.com/article/olink/23658906", "Go to Website")</f>
        <v/>
      </c>
      <c r="H368" t="inlineStr"/>
      <c r="I368" t="inlineStr">
        <is>
          <t>C30</t>
        </is>
      </c>
      <c r="J368" s="3" t="n">
        <v>0.901</v>
      </c>
      <c r="K368" t="inlineStr">
        <is>
          <t>자동차 및 트레일러 제조업</t>
        </is>
      </c>
      <c r="L368" t="inlineStr">
        <is>
          <t>1</t>
        </is>
      </c>
      <c r="M368" s="3" t="n">
        <v>0.52</v>
      </c>
      <c r="N368" t="inlineStr">
        <is>
          <t>긍정</t>
        </is>
      </c>
    </row>
    <row r="369">
      <c r="A369" s="1" t="inlineStr">
        <is>
          <t>2021-05-23</t>
        </is>
      </c>
      <c r="B369" t="inlineStr">
        <is>
          <t>news</t>
        </is>
      </c>
      <c r="C369" t="inlineStr">
        <is>
          <t>economy</t>
        </is>
      </c>
      <c r="D369" t="inlineStr">
        <is>
          <t>데일리안</t>
        </is>
      </c>
      <c r="E369" t="inlineStr">
        <is>
          <t>고수정</t>
        </is>
      </c>
      <c r="F369" t="inlineStr">
        <is>
          <t>문대통령 "한국 기업, 배터리 최고 파트너…한미 발전 기회"</t>
        </is>
      </c>
      <c r="G369" s="2">
        <f>HYPERLINK("https://www.dailian.co.kr/news/view/993766/", "Go to Website")</f>
        <v/>
      </c>
      <c r="H369" t="inlineStr"/>
      <c r="I369" t="inlineStr">
        <is>
          <t>K64</t>
        </is>
      </c>
      <c r="J369" s="3" t="n">
        <v>0.947</v>
      </c>
      <c r="K369" t="inlineStr">
        <is>
          <t>금융업</t>
        </is>
      </c>
      <c r="L369" t="inlineStr"/>
      <c r="M369" t="inlineStr"/>
      <c r="N369" t="inlineStr"/>
    </row>
    <row r="370">
      <c r="A370" s="1" t="inlineStr">
        <is>
          <t>2021-05-23</t>
        </is>
      </c>
      <c r="B370" t="inlineStr">
        <is>
          <t>news</t>
        </is>
      </c>
      <c r="C370" t="inlineStr">
        <is>
          <t>economy</t>
        </is>
      </c>
      <c r="D370" t="inlineStr">
        <is>
          <t>연합뉴스</t>
        </is>
      </c>
      <c r="E370" t="inlineStr">
        <is>
          <t>임형섭</t>
        </is>
      </c>
      <c r="F370" t="inlineStr">
        <is>
          <t>SK 배터리 공장 찾은 문대통령 "한미가 함께 도약"</t>
        </is>
      </c>
      <c r="G370" s="2">
        <f>HYPERLINK("http://yna.kr/AKR20210523008300001?did=1195m", "Go to Website")</f>
        <v/>
      </c>
      <c r="H370" t="inlineStr"/>
      <c r="I370" t="inlineStr">
        <is>
          <t>K64</t>
        </is>
      </c>
      <c r="J370" s="3" t="n">
        <v>0.969</v>
      </c>
      <c r="K370" t="inlineStr">
        <is>
          <t>금융업</t>
        </is>
      </c>
      <c r="L370" t="inlineStr">
        <is>
          <t>0</t>
        </is>
      </c>
      <c r="M370" s="3" t="n">
        <v>0.97</v>
      </c>
      <c r="N370" t="inlineStr">
        <is>
          <t>중립</t>
        </is>
      </c>
    </row>
    <row r="371">
      <c r="A371" s="1" t="inlineStr">
        <is>
          <t>2021-05-23</t>
        </is>
      </c>
      <c r="B371" t="inlineStr">
        <is>
          <t>news</t>
        </is>
      </c>
      <c r="C371" t="inlineStr">
        <is>
          <t>economy</t>
        </is>
      </c>
      <c r="D371" t="inlineStr">
        <is>
          <t>서울신문</t>
        </is>
      </c>
      <c r="E371" t="inlineStr">
        <is>
          <t>유대근</t>
        </is>
      </c>
      <c r="F371" t="inlineStr">
        <is>
          <t>머스크에 분노한 투자자들 “화성 대신 감옥 가라”</t>
        </is>
      </c>
      <c r="G371" s="2">
        <f>HYPERLINK("https://www.seoul.co.kr/news/newsView.php?id=20210523500005", "Go to Website")</f>
        <v/>
      </c>
      <c r="H371" t="inlineStr"/>
      <c r="I371" t="inlineStr">
        <is>
          <t>J59</t>
        </is>
      </c>
      <c r="J371" s="3" t="n">
        <v>0.595</v>
      </c>
      <c r="K371" t="inlineStr">
        <is>
          <t>영상ㆍ오디오 기록물 제작 및 배급업</t>
        </is>
      </c>
      <c r="L371" t="inlineStr"/>
      <c r="M371" t="inlineStr"/>
      <c r="N371" t="inlineStr"/>
    </row>
    <row r="372">
      <c r="A372" s="1" t="inlineStr">
        <is>
          <t>2021-05-23</t>
        </is>
      </c>
      <c r="B372" t="inlineStr">
        <is>
          <t>news</t>
        </is>
      </c>
      <c r="C372" t="inlineStr">
        <is>
          <t>economy</t>
        </is>
      </c>
      <c r="D372" t="inlineStr">
        <is>
          <t>이데일리</t>
        </is>
      </c>
      <c r="E372" t="inlineStr">
        <is>
          <t>김윤지</t>
        </is>
      </c>
      <c r="F372" t="inlineStr">
        <is>
          <t>[펀드와치] 컴백에 경기 정상화까지, 엔터 ETF 눈길</t>
        </is>
      </c>
      <c r="G372" s="2">
        <f>HYPERLINK("http://www.edaily.co.kr/news/newspath.asp?newsid=01141446629051872", "Go to Website")</f>
        <v/>
      </c>
      <c r="H372" t="inlineStr"/>
      <c r="I372" t="inlineStr">
        <is>
          <t>J59</t>
        </is>
      </c>
      <c r="J372" s="3" t="n">
        <v>0.995</v>
      </c>
      <c r="K372" t="inlineStr">
        <is>
          <t>영상ㆍ오디오 기록물 제작 및 배급업</t>
        </is>
      </c>
      <c r="L372" t="inlineStr"/>
      <c r="M372" t="inlineStr"/>
      <c r="N372" t="inlineStr"/>
    </row>
    <row r="373">
      <c r="A373" s="1" t="inlineStr">
        <is>
          <t>2021-05-23</t>
        </is>
      </c>
      <c r="B373" t="inlineStr">
        <is>
          <t>news</t>
        </is>
      </c>
      <c r="C373" t="inlineStr">
        <is>
          <t>economy</t>
        </is>
      </c>
      <c r="D373" t="inlineStr">
        <is>
          <t>연합뉴스</t>
        </is>
      </c>
      <c r="E373" t="inlineStr">
        <is>
          <t>김영신</t>
        </is>
      </c>
      <c r="F373" t="inlineStr">
        <is>
          <t>"양극재·분리막·동박 잡아라"…K배터리, 이젠 소재확보 총력전</t>
        </is>
      </c>
      <c r="G373" s="2">
        <f>HYPERLINK("http://yna.kr/AKR20210523003200003?did=1195m", "Go to Website")</f>
        <v/>
      </c>
      <c r="H373" t="inlineStr"/>
      <c r="I373" t="inlineStr">
        <is>
          <t>C20</t>
        </is>
      </c>
      <c r="J373" s="3" t="n">
        <v>0.986</v>
      </c>
      <c r="K373" t="inlineStr">
        <is>
          <t>화학 물질 및 화학제품 제조업; 의약품 제외</t>
        </is>
      </c>
      <c r="L373" t="inlineStr"/>
      <c r="M373" t="inlineStr"/>
      <c r="N373" t="inlineStr"/>
    </row>
    <row r="374">
      <c r="A374" s="1" t="inlineStr">
        <is>
          <t>2021-05-23</t>
        </is>
      </c>
      <c r="B374" t="inlineStr">
        <is>
          <t>news</t>
        </is>
      </c>
      <c r="C374" t="inlineStr">
        <is>
          <t>economy</t>
        </is>
      </c>
      <c r="D374" t="inlineStr">
        <is>
          <t>데일리안</t>
        </is>
      </c>
      <c r="E374" t="inlineStr">
        <is>
          <t>고수정</t>
        </is>
      </c>
      <c r="F374" t="inlineStr">
        <is>
          <t>文, 방미 마지막 일정 'SK이노 배터리 공장' 선택 배경은</t>
        </is>
      </c>
      <c r="G374" s="2">
        <f>HYPERLINK("https://www.dailian.co.kr/news/view/993763/", "Go to Website")</f>
        <v/>
      </c>
      <c r="H374" t="inlineStr"/>
      <c r="I374" t="inlineStr">
        <is>
          <t>K64</t>
        </is>
      </c>
      <c r="J374" s="3" t="n">
        <v>0.762</v>
      </c>
      <c r="K374" t="inlineStr">
        <is>
          <t>금융업</t>
        </is>
      </c>
      <c r="L374" t="inlineStr"/>
      <c r="M374" t="inlineStr"/>
      <c r="N374" t="inlineStr"/>
    </row>
    <row r="375">
      <c r="A375" s="1" t="inlineStr">
        <is>
          <t>2021-05-23</t>
        </is>
      </c>
      <c r="B375" t="inlineStr">
        <is>
          <t>news</t>
        </is>
      </c>
      <c r="C375" t="inlineStr">
        <is>
          <t>economy</t>
        </is>
      </c>
      <c r="D375" t="inlineStr">
        <is>
          <t>비즈니스워치</t>
        </is>
      </c>
      <c r="E375" t="inlineStr"/>
      <c r="F375" t="inlineStr">
        <is>
          <t>전기차 앞에 '순수' 붙는 이유</t>
        </is>
      </c>
      <c r="G375" s="2">
        <f>HYPERLINK("http://news.bizwatch.co.kr/article/industry/2021/05/21/0022", "Go to Website")</f>
        <v/>
      </c>
      <c r="H375" t="inlineStr"/>
      <c r="I375" t="inlineStr">
        <is>
          <t>100</t>
        </is>
      </c>
      <c r="J375" s="3" t="n">
        <v>0.507</v>
      </c>
      <c r="K375" t="inlineStr">
        <is>
          <t>분류 제외, 기타</t>
        </is>
      </c>
      <c r="L375" t="inlineStr"/>
      <c r="M375" t="inlineStr"/>
      <c r="N375" t="inlineStr"/>
    </row>
    <row r="376">
      <c r="A376" s="1" t="inlineStr">
        <is>
          <t>2021-05-23</t>
        </is>
      </c>
      <c r="B376" t="inlineStr">
        <is>
          <t>news</t>
        </is>
      </c>
      <c r="C376" t="inlineStr">
        <is>
          <t>economy</t>
        </is>
      </c>
      <c r="D376" t="inlineStr">
        <is>
          <t>뉴시스</t>
        </is>
      </c>
      <c r="E376" t="inlineStr">
        <is>
          <t>박정규</t>
        </is>
      </c>
      <c r="F376" t="inlineStr">
        <is>
          <t>생산성본부, 3D 모델링 디자인 공모전</t>
        </is>
      </c>
      <c r="G376" s="2">
        <f>HYPERLINK("http://www.newsis.com/view/?id=NISX20210520_0001447698&amp;cID=13001&amp;pID=13000", "Go to Website")</f>
        <v/>
      </c>
      <c r="H376" t="inlineStr"/>
      <c r="I376" t="inlineStr">
        <is>
          <t>P85</t>
        </is>
      </c>
      <c r="J376" s="3" t="n">
        <v>1</v>
      </c>
      <c r="K376" t="inlineStr">
        <is>
          <t>교육 서비스업</t>
        </is>
      </c>
      <c r="L376" t="inlineStr">
        <is>
          <t>0</t>
        </is>
      </c>
      <c r="M376" s="3" t="n">
        <v>0.999</v>
      </c>
      <c r="N376" t="inlineStr">
        <is>
          <t>중립</t>
        </is>
      </c>
    </row>
    <row r="377">
      <c r="A377" s="1" t="inlineStr">
        <is>
          <t>2021-05-23</t>
        </is>
      </c>
      <c r="B377" t="inlineStr">
        <is>
          <t>news</t>
        </is>
      </c>
      <c r="C377" t="inlineStr">
        <is>
          <t>economy</t>
        </is>
      </c>
      <c r="D377" t="inlineStr">
        <is>
          <t>뉴시스</t>
        </is>
      </c>
      <c r="E377" t="inlineStr">
        <is>
          <t>안채원</t>
        </is>
      </c>
      <c r="F377" t="inlineStr">
        <is>
          <t>文대통령, 美대규모 투자하는 SK전기차 배터리공장 방문</t>
        </is>
      </c>
      <c r="G377" s="2">
        <f>HYPERLINK("http://www.newsis.com/view/?id=NISX20210522_0001449758&amp;cID=10301&amp;pID=10300", "Go to Website")</f>
        <v/>
      </c>
      <c r="H377" t="inlineStr"/>
      <c r="I377" t="inlineStr">
        <is>
          <t>K64</t>
        </is>
      </c>
      <c r="J377" s="3" t="n">
        <v>0.99</v>
      </c>
      <c r="K377" t="inlineStr">
        <is>
          <t>금융업</t>
        </is>
      </c>
      <c r="L377" t="inlineStr"/>
      <c r="M377" t="inlineStr"/>
      <c r="N377" t="inlineStr"/>
    </row>
    <row r="378">
      <c r="A378" s="1" t="inlineStr">
        <is>
          <t>2021-05-23</t>
        </is>
      </c>
      <c r="B378" t="inlineStr">
        <is>
          <t>news</t>
        </is>
      </c>
      <c r="C378" t="inlineStr">
        <is>
          <t>economy</t>
        </is>
      </c>
      <c r="D378" t="inlineStr">
        <is>
          <t>뉴시스</t>
        </is>
      </c>
      <c r="E378" t="inlineStr">
        <is>
          <t>추상철</t>
        </is>
      </c>
      <c r="F378" t="inlineStr">
        <is>
          <t>전기차 배터리 설명듣는 문재인 대통령</t>
        </is>
      </c>
      <c r="G378" s="2">
        <f>HYPERLINK("http://www.newsis.com/view/?id=NISI20210523_0017482624", "Go to Website")</f>
        <v/>
      </c>
      <c r="H378" t="inlineStr"/>
      <c r="I378" t="inlineStr">
        <is>
          <t>K64</t>
        </is>
      </c>
      <c r="J378" s="3" t="n">
        <v>0.413</v>
      </c>
      <c r="K378" t="inlineStr">
        <is>
          <t>금융업</t>
        </is>
      </c>
      <c r="L378" t="inlineStr">
        <is>
          <t>0</t>
        </is>
      </c>
      <c r="M378" s="3" t="n">
        <v>0.977</v>
      </c>
      <c r="N378" t="inlineStr">
        <is>
          <t>중립</t>
        </is>
      </c>
    </row>
    <row r="379">
      <c r="A379" s="1" t="inlineStr">
        <is>
          <t>2021-05-23</t>
        </is>
      </c>
      <c r="B379" t="inlineStr">
        <is>
          <t>news</t>
        </is>
      </c>
      <c r="C379" t="inlineStr">
        <is>
          <t>economy</t>
        </is>
      </c>
      <c r="D379" t="inlineStr">
        <is>
          <t>뉴시스</t>
        </is>
      </c>
      <c r="E379" t="inlineStr">
        <is>
          <t>추상철</t>
        </is>
      </c>
      <c r="F379" t="inlineStr">
        <is>
          <t>설명듣는 문재인 대통령</t>
        </is>
      </c>
      <c r="G379" s="2">
        <f>HYPERLINK("http://www.newsis.com/view/?id=NISI20210523_0017482630", "Go to Website")</f>
        <v/>
      </c>
      <c r="H379" t="inlineStr"/>
      <c r="I379" t="inlineStr">
        <is>
          <t>100</t>
        </is>
      </c>
      <c r="J379" s="3" t="n">
        <v>0.983</v>
      </c>
      <c r="K379" t="inlineStr">
        <is>
          <t>분류 제외, 기타</t>
        </is>
      </c>
      <c r="L379" t="inlineStr">
        <is>
          <t>0</t>
        </is>
      </c>
      <c r="M379" s="3" t="n">
        <v>0.993</v>
      </c>
      <c r="N379" t="inlineStr">
        <is>
          <t>중립</t>
        </is>
      </c>
    </row>
    <row r="380">
      <c r="A380" s="1" t="inlineStr">
        <is>
          <t>2021-05-23</t>
        </is>
      </c>
      <c r="B380" t="inlineStr">
        <is>
          <t>news</t>
        </is>
      </c>
      <c r="C380" t="inlineStr">
        <is>
          <t>economy</t>
        </is>
      </c>
      <c r="D380" t="inlineStr">
        <is>
          <t>뉴시스</t>
        </is>
      </c>
      <c r="E380" t="inlineStr">
        <is>
          <t>추상철</t>
        </is>
      </c>
      <c r="F380" t="inlineStr">
        <is>
          <t>설명듣는 문재인 대통령</t>
        </is>
      </c>
      <c r="G380" s="2">
        <f>HYPERLINK("http://www.newsis.com/view/?id=NISI20210523_0017482619", "Go to Website")</f>
        <v/>
      </c>
      <c r="H380" t="inlineStr"/>
      <c r="I380" t="inlineStr">
        <is>
          <t>100</t>
        </is>
      </c>
      <c r="J380" s="3" t="n">
        <v>0.9320000000000001</v>
      </c>
      <c r="K380" t="inlineStr">
        <is>
          <t>분류 제외, 기타</t>
        </is>
      </c>
      <c r="L380" t="inlineStr">
        <is>
          <t>0</t>
        </is>
      </c>
      <c r="M380" s="3" t="n">
        <v>0.993</v>
      </c>
      <c r="N380" t="inlineStr">
        <is>
          <t>중립</t>
        </is>
      </c>
    </row>
    <row r="381">
      <c r="A381" s="1" t="inlineStr">
        <is>
          <t>2021-05-23</t>
        </is>
      </c>
      <c r="B381" t="inlineStr">
        <is>
          <t>news</t>
        </is>
      </c>
      <c r="C381" t="inlineStr">
        <is>
          <t>economy</t>
        </is>
      </c>
      <c r="D381" t="inlineStr">
        <is>
          <t>뉴시스</t>
        </is>
      </c>
      <c r="E381" t="inlineStr">
        <is>
          <t>추상철</t>
        </is>
      </c>
      <c r="F381" t="inlineStr">
        <is>
          <t>전기차 배터리 설명듣는 문재인 대통령</t>
        </is>
      </c>
      <c r="G381" s="2">
        <f>HYPERLINK("http://www.newsis.com/view/?id=NISI20210523_0017482621", "Go to Website")</f>
        <v/>
      </c>
      <c r="H381" t="inlineStr"/>
      <c r="I381" t="inlineStr">
        <is>
          <t>K64</t>
        </is>
      </c>
      <c r="J381" s="3" t="n">
        <v>0.413</v>
      </c>
      <c r="K381" t="inlineStr">
        <is>
          <t>금융업</t>
        </is>
      </c>
      <c r="L381" t="inlineStr">
        <is>
          <t>0</t>
        </is>
      </c>
      <c r="M381" s="3" t="n">
        <v>0.977</v>
      </c>
      <c r="N381" t="inlineStr">
        <is>
          <t>중립</t>
        </is>
      </c>
    </row>
    <row r="382">
      <c r="A382" s="1" t="inlineStr">
        <is>
          <t>2021-05-23</t>
        </is>
      </c>
      <c r="B382" t="inlineStr">
        <is>
          <t>news</t>
        </is>
      </c>
      <c r="C382" t="inlineStr">
        <is>
          <t>economy</t>
        </is>
      </c>
      <c r="D382" t="inlineStr">
        <is>
          <t>뉴시스</t>
        </is>
      </c>
      <c r="E382" t="inlineStr">
        <is>
          <t>추상철</t>
        </is>
      </c>
      <c r="F382" t="inlineStr">
        <is>
          <t>전기차 배터리 설명듣는 문재인 대통령</t>
        </is>
      </c>
      <c r="G382" s="2">
        <f>HYPERLINK("http://www.newsis.com/view/?id=NISI20210523_0017482616", "Go to Website")</f>
        <v/>
      </c>
      <c r="H382" t="inlineStr"/>
      <c r="I382" t="inlineStr">
        <is>
          <t>K64</t>
        </is>
      </c>
      <c r="J382" s="3" t="n">
        <v>0.413</v>
      </c>
      <c r="K382" t="inlineStr">
        <is>
          <t>금융업</t>
        </is>
      </c>
      <c r="L382" t="inlineStr">
        <is>
          <t>0</t>
        </is>
      </c>
      <c r="M382" s="3" t="n">
        <v>0.977</v>
      </c>
      <c r="N382" t="inlineStr">
        <is>
          <t>중립</t>
        </is>
      </c>
    </row>
    <row r="383">
      <c r="A383" s="1" t="inlineStr">
        <is>
          <t>2021-05-23</t>
        </is>
      </c>
      <c r="B383" t="inlineStr">
        <is>
          <t>news</t>
        </is>
      </c>
      <c r="C383" t="inlineStr">
        <is>
          <t>economy</t>
        </is>
      </c>
      <c r="D383" t="inlineStr">
        <is>
          <t>뉴시스</t>
        </is>
      </c>
      <c r="E383" t="inlineStr">
        <is>
          <t>추상철</t>
        </is>
      </c>
      <c r="F383" t="inlineStr">
        <is>
          <t>공장 시찰하는 문재인 대통령</t>
        </is>
      </c>
      <c r="G383" s="2">
        <f>HYPERLINK("http://www.newsis.com/view/?id=NISI20210523_0017482534", "Go to Website")</f>
        <v/>
      </c>
      <c r="H383" t="inlineStr"/>
      <c r="I383" t="inlineStr">
        <is>
          <t>100</t>
        </is>
      </c>
      <c r="J383" s="3" t="n">
        <v>0.962</v>
      </c>
      <c r="K383" t="inlineStr">
        <is>
          <t>분류 제외, 기타</t>
        </is>
      </c>
      <c r="L383" t="inlineStr">
        <is>
          <t>0</t>
        </is>
      </c>
      <c r="M383" s="3" t="n">
        <v>0.994</v>
      </c>
      <c r="N383" t="inlineStr">
        <is>
          <t>중립</t>
        </is>
      </c>
    </row>
    <row r="384">
      <c r="A384" s="1" t="inlineStr">
        <is>
          <t>2021-05-23</t>
        </is>
      </c>
      <c r="B384" t="inlineStr">
        <is>
          <t>news</t>
        </is>
      </c>
      <c r="C384" t="inlineStr">
        <is>
          <t>economy</t>
        </is>
      </c>
      <c r="D384" t="inlineStr">
        <is>
          <t>뉴시스</t>
        </is>
      </c>
      <c r="E384" t="inlineStr">
        <is>
          <t>추상철</t>
        </is>
      </c>
      <c r="F384" t="inlineStr">
        <is>
          <t>브리핑 듣는 문재인 대통령과 최태원 회장</t>
        </is>
      </c>
      <c r="G384" s="2">
        <f>HYPERLINK("http://www.newsis.com/view/?id=NISI20210523_0017482544", "Go to Website")</f>
        <v/>
      </c>
      <c r="H384" t="inlineStr"/>
      <c r="I384" t="inlineStr">
        <is>
          <t>100</t>
        </is>
      </c>
      <c r="J384" s="3" t="n">
        <v>0.753</v>
      </c>
      <c r="K384" t="inlineStr">
        <is>
          <t>분류 제외, 기타</t>
        </is>
      </c>
      <c r="L384" t="inlineStr">
        <is>
          <t>0</t>
        </is>
      </c>
      <c r="M384" s="3" t="n">
        <v>0.999</v>
      </c>
      <c r="N384" t="inlineStr">
        <is>
          <t>중립</t>
        </is>
      </c>
    </row>
    <row r="385">
      <c r="A385" s="1" t="inlineStr">
        <is>
          <t>2021-05-23</t>
        </is>
      </c>
      <c r="B385" t="inlineStr">
        <is>
          <t>news</t>
        </is>
      </c>
      <c r="C385" t="inlineStr">
        <is>
          <t>economy</t>
        </is>
      </c>
      <c r="D385" t="inlineStr">
        <is>
          <t>뉴시스</t>
        </is>
      </c>
      <c r="E385" t="inlineStr">
        <is>
          <t>추상철</t>
        </is>
      </c>
      <c r="F385" t="inlineStr">
        <is>
          <t>배터리 재료 설명듣는 문재인 대통령</t>
        </is>
      </c>
      <c r="G385" s="2">
        <f>HYPERLINK("http://www.newsis.com/view/?id=NISI20210523_0017482549", "Go to Website")</f>
        <v/>
      </c>
      <c r="H385" t="inlineStr"/>
      <c r="I385" t="inlineStr">
        <is>
          <t>100</t>
        </is>
      </c>
      <c r="J385" s="3" t="n">
        <v>0.826</v>
      </c>
      <c r="K385" t="inlineStr">
        <is>
          <t>분류 제외, 기타</t>
        </is>
      </c>
      <c r="L385" t="inlineStr">
        <is>
          <t>0</t>
        </is>
      </c>
      <c r="M385" s="3" t="n">
        <v>0.899</v>
      </c>
      <c r="N385" t="inlineStr">
        <is>
          <t>중립</t>
        </is>
      </c>
    </row>
    <row r="386">
      <c r="A386" s="1" t="inlineStr">
        <is>
          <t>2021-05-23</t>
        </is>
      </c>
      <c r="B386" t="inlineStr">
        <is>
          <t>news</t>
        </is>
      </c>
      <c r="C386" t="inlineStr">
        <is>
          <t>economy</t>
        </is>
      </c>
      <c r="D386" t="inlineStr">
        <is>
          <t>뉴시스</t>
        </is>
      </c>
      <c r="E386" t="inlineStr">
        <is>
          <t>추상철</t>
        </is>
      </c>
      <c r="F386" t="inlineStr">
        <is>
          <t>SK이노베이션 조지아공장 직원들 격려하는 문재인 대통령</t>
        </is>
      </c>
      <c r="G386" s="2">
        <f>HYPERLINK("http://www.newsis.com/view/?id=NISI20210523_0017482535", "Go to Website")</f>
        <v/>
      </c>
      <c r="H386" t="inlineStr"/>
      <c r="I386" t="inlineStr">
        <is>
          <t>100</t>
        </is>
      </c>
      <c r="J386" s="3" t="n">
        <v>0.512</v>
      </c>
      <c r="K386" t="inlineStr">
        <is>
          <t>분류 제외, 기타</t>
        </is>
      </c>
      <c r="L386" t="inlineStr">
        <is>
          <t>0</t>
        </is>
      </c>
      <c r="M386" s="3" t="n">
        <v>0.984</v>
      </c>
      <c r="N386" t="inlineStr">
        <is>
          <t>중립</t>
        </is>
      </c>
    </row>
    <row r="387">
      <c r="A387" s="1" t="inlineStr">
        <is>
          <t>2021-05-23</t>
        </is>
      </c>
      <c r="B387" t="inlineStr">
        <is>
          <t>news</t>
        </is>
      </c>
      <c r="C387" t="inlineStr">
        <is>
          <t>economy</t>
        </is>
      </c>
      <c r="D387" t="inlineStr">
        <is>
          <t>뉴시스</t>
        </is>
      </c>
      <c r="E387" t="inlineStr">
        <is>
          <t>추상철</t>
        </is>
      </c>
      <c r="F387" t="inlineStr">
        <is>
          <t>방진복 입고 직원들 격려하는 문재인 대통령</t>
        </is>
      </c>
      <c r="G387" s="2">
        <f>HYPERLINK("http://www.newsis.com/view/?id=NISI20210523_0017482536", "Go to Website")</f>
        <v/>
      </c>
      <c r="H387" t="inlineStr"/>
      <c r="I387" t="inlineStr">
        <is>
          <t>100</t>
        </is>
      </c>
      <c r="J387" s="3" t="n">
        <v>0.99</v>
      </c>
      <c r="K387" t="inlineStr">
        <is>
          <t>분류 제외, 기타</t>
        </is>
      </c>
      <c r="L387" t="inlineStr">
        <is>
          <t>0</t>
        </is>
      </c>
      <c r="M387" s="3" t="n">
        <v>0.999</v>
      </c>
      <c r="N387" t="inlineStr">
        <is>
          <t>중립</t>
        </is>
      </c>
    </row>
    <row r="388">
      <c r="A388" s="1" t="inlineStr">
        <is>
          <t>2021-05-23</t>
        </is>
      </c>
      <c r="B388" t="inlineStr">
        <is>
          <t>news</t>
        </is>
      </c>
      <c r="C388" t="inlineStr">
        <is>
          <t>economy</t>
        </is>
      </c>
      <c r="D388" t="inlineStr">
        <is>
          <t>뉴시스</t>
        </is>
      </c>
      <c r="E388" t="inlineStr">
        <is>
          <t>추상철</t>
        </is>
      </c>
      <c r="F388" t="inlineStr">
        <is>
          <t>애틀랜타 SK이노베이션 전기차 배터리 공장 방문하는 문재인 대통령</t>
        </is>
      </c>
      <c r="G388" s="2">
        <f>HYPERLINK("http://www.newsis.com/view/?id=NISI20210523_0017482489", "Go to Website")</f>
        <v/>
      </c>
      <c r="H388" t="inlineStr"/>
      <c r="I388" t="inlineStr">
        <is>
          <t>K64</t>
        </is>
      </c>
      <c r="J388" s="3" t="n">
        <v>0.698</v>
      </c>
      <c r="K388" t="inlineStr">
        <is>
          <t>금융업</t>
        </is>
      </c>
      <c r="L388" t="inlineStr">
        <is>
          <t>0</t>
        </is>
      </c>
      <c r="M388" s="3" t="n">
        <v>0.869</v>
      </c>
      <c r="N388" t="inlineStr">
        <is>
          <t>중립</t>
        </is>
      </c>
    </row>
    <row r="389">
      <c r="A389" s="1" t="inlineStr">
        <is>
          <t>2021-05-23</t>
        </is>
      </c>
      <c r="B389" t="inlineStr">
        <is>
          <t>news</t>
        </is>
      </c>
      <c r="C389" t="inlineStr">
        <is>
          <t>economy</t>
        </is>
      </c>
      <c r="D389" t="inlineStr">
        <is>
          <t>뉴시스</t>
        </is>
      </c>
      <c r="E389" t="inlineStr">
        <is>
          <t>추상철</t>
        </is>
      </c>
      <c r="F389" t="inlineStr">
        <is>
          <t>SK이노베이션 전기차 배터리 공장 방문하는 문재인 대통령</t>
        </is>
      </c>
      <c r="G389" s="2">
        <f>HYPERLINK("http://www.newsis.com/view/?id=NISI20210523_0017482539", "Go to Website")</f>
        <v/>
      </c>
      <c r="H389" t="inlineStr"/>
      <c r="I389" t="inlineStr">
        <is>
          <t>K64</t>
        </is>
      </c>
      <c r="J389" s="3" t="n">
        <v>0.746</v>
      </c>
      <c r="K389" t="inlineStr">
        <is>
          <t>금융업</t>
        </is>
      </c>
      <c r="L389" t="inlineStr">
        <is>
          <t>0</t>
        </is>
      </c>
      <c r="M389" s="3" t="n">
        <v>0.8179999999999999</v>
      </c>
      <c r="N389" t="inlineStr">
        <is>
          <t>중립</t>
        </is>
      </c>
    </row>
    <row r="390">
      <c r="A390" s="1" t="inlineStr">
        <is>
          <t>2021-05-23</t>
        </is>
      </c>
      <c r="B390" t="inlineStr">
        <is>
          <t>news</t>
        </is>
      </c>
      <c r="C390" t="inlineStr">
        <is>
          <t>economy</t>
        </is>
      </c>
      <c r="D390" t="inlineStr">
        <is>
          <t>뉴시스</t>
        </is>
      </c>
      <c r="E390" t="inlineStr">
        <is>
          <t>추상철</t>
        </is>
      </c>
      <c r="F390" t="inlineStr">
        <is>
          <t>애틀랜타 SK이노베이션 전기차 배터리 공장 방문하는 문재인 대통령</t>
        </is>
      </c>
      <c r="G390" s="2">
        <f>HYPERLINK("http://www.newsis.com/view/?id=NISI20210523_0017482488", "Go to Website")</f>
        <v/>
      </c>
      <c r="H390" t="inlineStr"/>
      <c r="I390" t="inlineStr">
        <is>
          <t>K64</t>
        </is>
      </c>
      <c r="J390" s="3" t="n">
        <v>0.698</v>
      </c>
      <c r="K390" t="inlineStr">
        <is>
          <t>금융업</t>
        </is>
      </c>
      <c r="L390" t="inlineStr">
        <is>
          <t>0</t>
        </is>
      </c>
      <c r="M390" s="3" t="n">
        <v>0.869</v>
      </c>
      <c r="N390" t="inlineStr">
        <is>
          <t>중립</t>
        </is>
      </c>
    </row>
    <row r="391">
      <c r="A391" s="1" t="inlineStr">
        <is>
          <t>2021-05-23</t>
        </is>
      </c>
      <c r="B391" t="inlineStr">
        <is>
          <t>news</t>
        </is>
      </c>
      <c r="C391" t="inlineStr">
        <is>
          <t>economy</t>
        </is>
      </c>
      <c r="D391" t="inlineStr">
        <is>
          <t>뉴시스</t>
        </is>
      </c>
      <c r="E391" t="inlineStr">
        <is>
          <t>추상철</t>
        </is>
      </c>
      <c r="F391" t="inlineStr">
        <is>
          <t>SK이노베이션 전기차 배터리 1공장 시찰하는 문재인 대통령</t>
        </is>
      </c>
      <c r="G391" s="2">
        <f>HYPERLINK("http://www.newsis.com/view/?id=NISI20210523_0017482533", "Go to Website")</f>
        <v/>
      </c>
      <c r="H391" t="inlineStr"/>
      <c r="I391" t="inlineStr">
        <is>
          <t>100</t>
        </is>
      </c>
      <c r="J391" s="3" t="n">
        <v>0.49</v>
      </c>
      <c r="K391" t="inlineStr">
        <is>
          <t>분류 제외, 기타</t>
        </is>
      </c>
      <c r="L391" t="inlineStr">
        <is>
          <t>0</t>
        </is>
      </c>
      <c r="M391" s="3" t="n">
        <v>0.908</v>
      </c>
      <c r="N391" t="inlineStr">
        <is>
          <t>중립</t>
        </is>
      </c>
    </row>
    <row r="392">
      <c r="A392" s="1" t="inlineStr">
        <is>
          <t>2021-05-23</t>
        </is>
      </c>
      <c r="B392" t="inlineStr">
        <is>
          <t>news</t>
        </is>
      </c>
      <c r="C392" t="inlineStr">
        <is>
          <t>economy</t>
        </is>
      </c>
      <c r="D392" t="inlineStr">
        <is>
          <t>뉴시스</t>
        </is>
      </c>
      <c r="E392" t="inlineStr">
        <is>
          <t>추상철</t>
        </is>
      </c>
      <c r="F392" t="inlineStr">
        <is>
          <t>지동섭 대표의 브리핑 듣는 문재인 대통령</t>
        </is>
      </c>
      <c r="G392" s="2">
        <f>HYPERLINK("http://www.newsis.com/view/?id=NISI20210523_0017482538", "Go to Website")</f>
        <v/>
      </c>
      <c r="H392" t="inlineStr"/>
      <c r="I392" t="inlineStr">
        <is>
          <t>100</t>
        </is>
      </c>
      <c r="J392" s="3" t="n">
        <v>0.849</v>
      </c>
      <c r="K392" t="inlineStr">
        <is>
          <t>분류 제외, 기타</t>
        </is>
      </c>
      <c r="L392" t="inlineStr">
        <is>
          <t>0</t>
        </is>
      </c>
      <c r="M392" s="3" t="n">
        <v>0.999</v>
      </c>
      <c r="N392" t="inlineStr">
        <is>
          <t>중립</t>
        </is>
      </c>
    </row>
    <row r="393">
      <c r="A393" s="1" t="inlineStr">
        <is>
          <t>2021-05-23</t>
        </is>
      </c>
      <c r="B393" t="inlineStr">
        <is>
          <t>news</t>
        </is>
      </c>
      <c r="C393" t="inlineStr">
        <is>
          <t>economy</t>
        </is>
      </c>
      <c r="D393" t="inlineStr">
        <is>
          <t>뉴시스</t>
        </is>
      </c>
      <c r="E393" t="inlineStr">
        <is>
          <t>추상철</t>
        </is>
      </c>
      <c r="F393" t="inlineStr">
        <is>
          <t>브리핑 듣는 문재인 대통령</t>
        </is>
      </c>
      <c r="G393" s="2">
        <f>HYPERLINK("http://www.newsis.com/view/?id=NISI20210523_0017482537", "Go to Website")</f>
        <v/>
      </c>
      <c r="H393" t="inlineStr"/>
      <c r="I393" t="inlineStr">
        <is>
          <t>100</t>
        </is>
      </c>
      <c r="J393" s="3" t="n">
        <v>0.963</v>
      </c>
      <c r="K393" t="inlineStr">
        <is>
          <t>분류 제외, 기타</t>
        </is>
      </c>
      <c r="L393" t="inlineStr">
        <is>
          <t>0</t>
        </is>
      </c>
      <c r="M393" s="3" t="n">
        <v>0.997</v>
      </c>
      <c r="N393" t="inlineStr">
        <is>
          <t>중립</t>
        </is>
      </c>
    </row>
    <row r="394">
      <c r="A394" s="1" t="inlineStr">
        <is>
          <t>2021-05-23</t>
        </is>
      </c>
      <c r="B394" t="inlineStr">
        <is>
          <t>news</t>
        </is>
      </c>
      <c r="C394" t="inlineStr">
        <is>
          <t>economy</t>
        </is>
      </c>
      <c r="D394" t="inlineStr">
        <is>
          <t>뉴시스</t>
        </is>
      </c>
      <c r="E394" t="inlineStr">
        <is>
          <t>추상철</t>
        </is>
      </c>
      <c r="F394" t="inlineStr">
        <is>
          <t>전기차 배터리 공장 시찰하는 문재인 대통령</t>
        </is>
      </c>
      <c r="G394" s="2">
        <f>HYPERLINK("http://www.newsis.com/view/?id=NISI20210523_0017482597", "Go to Website")</f>
        <v/>
      </c>
      <c r="H394" t="inlineStr"/>
      <c r="I394" t="inlineStr">
        <is>
          <t>100</t>
        </is>
      </c>
      <c r="J394" s="3" t="n">
        <v>0.951</v>
      </c>
      <c r="K394" t="inlineStr">
        <is>
          <t>분류 제외, 기타</t>
        </is>
      </c>
      <c r="L394" t="inlineStr">
        <is>
          <t>0</t>
        </is>
      </c>
      <c r="M394" s="3" t="n">
        <v>0.976</v>
      </c>
      <c r="N394" t="inlineStr">
        <is>
          <t>중립</t>
        </is>
      </c>
    </row>
    <row r="395">
      <c r="A395" s="1" t="inlineStr">
        <is>
          <t>2021-05-23</t>
        </is>
      </c>
      <c r="B395" t="inlineStr">
        <is>
          <t>news</t>
        </is>
      </c>
      <c r="C395" t="inlineStr">
        <is>
          <t>economy</t>
        </is>
      </c>
      <c r="D395" t="inlineStr">
        <is>
          <t>뉴시스</t>
        </is>
      </c>
      <c r="E395" t="inlineStr">
        <is>
          <t>추상철</t>
        </is>
      </c>
      <c r="F395" t="inlineStr">
        <is>
          <t>기념촬영 하는 문재인 대통령</t>
        </is>
      </c>
      <c r="G395" s="2">
        <f>HYPERLINK("http://www.newsis.com/view/?id=NISI20210523_0017482585", "Go to Website")</f>
        <v/>
      </c>
      <c r="H395" t="inlineStr"/>
      <c r="I395" t="inlineStr">
        <is>
          <t>100</t>
        </is>
      </c>
      <c r="J395" s="3" t="n">
        <v>0.358</v>
      </c>
      <c r="K395" t="inlineStr">
        <is>
          <t>분류 제외, 기타</t>
        </is>
      </c>
      <c r="L395" t="inlineStr">
        <is>
          <t>0</t>
        </is>
      </c>
      <c r="M395" s="3" t="n">
        <v>0.994</v>
      </c>
      <c r="N395" t="inlineStr">
        <is>
          <t>중립</t>
        </is>
      </c>
    </row>
    <row r="396">
      <c r="A396" s="1" t="inlineStr">
        <is>
          <t>2021-05-23</t>
        </is>
      </c>
      <c r="B396" t="inlineStr">
        <is>
          <t>news</t>
        </is>
      </c>
      <c r="C396" t="inlineStr">
        <is>
          <t>economy</t>
        </is>
      </c>
      <c r="D396" t="inlineStr">
        <is>
          <t>뉴시스</t>
        </is>
      </c>
      <c r="E396" t="inlineStr">
        <is>
          <t>추상철</t>
        </is>
      </c>
      <c r="F396" t="inlineStr">
        <is>
          <t>인사말 하는 문재인 대통령</t>
        </is>
      </c>
      <c r="G396" s="2">
        <f>HYPERLINK("http://www.newsis.com/view/?id=NISI20210523_0017482571", "Go to Website")</f>
        <v/>
      </c>
      <c r="H396" t="inlineStr"/>
      <c r="I396" t="inlineStr">
        <is>
          <t>100</t>
        </is>
      </c>
      <c r="J396" s="3" t="n">
        <v>0.966</v>
      </c>
      <c r="K396" t="inlineStr">
        <is>
          <t>분류 제외, 기타</t>
        </is>
      </c>
      <c r="L396" t="inlineStr">
        <is>
          <t>0</t>
        </is>
      </c>
      <c r="M396" s="3" t="n">
        <v>0.996</v>
      </c>
      <c r="N396" t="inlineStr">
        <is>
          <t>중립</t>
        </is>
      </c>
    </row>
    <row r="397">
      <c r="A397" s="1" t="inlineStr">
        <is>
          <t>2021-05-23</t>
        </is>
      </c>
      <c r="B397" t="inlineStr">
        <is>
          <t>news</t>
        </is>
      </c>
      <c r="C397" t="inlineStr">
        <is>
          <t>economy</t>
        </is>
      </c>
      <c r="D397" t="inlineStr">
        <is>
          <t>뉴시스</t>
        </is>
      </c>
      <c r="E397" t="inlineStr">
        <is>
          <t>추상철</t>
        </is>
      </c>
      <c r="F397" t="inlineStr">
        <is>
          <t>SK이노베이션 전기차 배터리공장 시찰하는 문재인 대통령</t>
        </is>
      </c>
      <c r="G397" s="2">
        <f>HYPERLINK("http://www.newsis.com/view/?id=NISI20210523_0017482609", "Go to Website")</f>
        <v/>
      </c>
      <c r="H397" t="inlineStr"/>
      <c r="I397" t="inlineStr">
        <is>
          <t>100</t>
        </is>
      </c>
      <c r="J397" s="3" t="n">
        <v>0.6879999999999999</v>
      </c>
      <c r="K397" t="inlineStr">
        <is>
          <t>분류 제외, 기타</t>
        </is>
      </c>
      <c r="L397" t="inlineStr">
        <is>
          <t>0</t>
        </is>
      </c>
      <c r="M397" s="3" t="n">
        <v>0.907</v>
      </c>
      <c r="N397" t="inlineStr">
        <is>
          <t>중립</t>
        </is>
      </c>
    </row>
    <row r="398">
      <c r="A398" s="1" t="inlineStr">
        <is>
          <t>2021-05-23</t>
        </is>
      </c>
      <c r="B398" t="inlineStr">
        <is>
          <t>news</t>
        </is>
      </c>
      <c r="C398" t="inlineStr">
        <is>
          <t>economy</t>
        </is>
      </c>
      <c r="D398" t="inlineStr">
        <is>
          <t>뉴시스</t>
        </is>
      </c>
      <c r="E398" t="inlineStr">
        <is>
          <t>추상철</t>
        </is>
      </c>
      <c r="F398" t="inlineStr">
        <is>
          <t>최태원 SK그룹 회장과 인사하는 문재인 대통령</t>
        </is>
      </c>
      <c r="G398" s="2">
        <f>HYPERLINK("http://www.newsis.com/view/?id=NISI20210523_0017482564", "Go to Website")</f>
        <v/>
      </c>
      <c r="H398" t="inlineStr"/>
      <c r="I398" t="inlineStr">
        <is>
          <t>K64</t>
        </is>
      </c>
      <c r="J398" s="3" t="n">
        <v>0.479</v>
      </c>
      <c r="K398" t="inlineStr">
        <is>
          <t>금융업</t>
        </is>
      </c>
      <c r="L398" t="inlineStr">
        <is>
          <t>0</t>
        </is>
      </c>
      <c r="M398" s="3" t="n">
        <v>0.998</v>
      </c>
      <c r="N398" t="inlineStr">
        <is>
          <t>중립</t>
        </is>
      </c>
    </row>
    <row r="399">
      <c r="A399" s="1" t="inlineStr">
        <is>
          <t>2021-05-23</t>
        </is>
      </c>
      <c r="B399" t="inlineStr">
        <is>
          <t>news</t>
        </is>
      </c>
      <c r="C399" t="inlineStr">
        <is>
          <t>economy</t>
        </is>
      </c>
      <c r="D399" t="inlineStr">
        <is>
          <t>뉴시스</t>
        </is>
      </c>
      <c r="E399" t="inlineStr">
        <is>
          <t>추상철</t>
        </is>
      </c>
      <c r="F399" t="inlineStr">
        <is>
          <t>인사말 하는 문재인 대통령</t>
        </is>
      </c>
      <c r="G399" s="2">
        <f>HYPERLINK("http://www.newsis.com/view/?id=NISI20210523_0017482578", "Go to Website")</f>
        <v/>
      </c>
      <c r="H399" t="inlineStr"/>
      <c r="I399" t="inlineStr">
        <is>
          <t>100</t>
        </is>
      </c>
      <c r="J399" s="3" t="n">
        <v>0.955</v>
      </c>
      <c r="K399" t="inlineStr">
        <is>
          <t>분류 제외, 기타</t>
        </is>
      </c>
      <c r="L399" t="inlineStr">
        <is>
          <t>0</t>
        </is>
      </c>
      <c r="M399" s="3" t="n">
        <v>0.996</v>
      </c>
      <c r="N399" t="inlineStr">
        <is>
          <t>중립</t>
        </is>
      </c>
    </row>
    <row r="400">
      <c r="A400" s="1" t="inlineStr">
        <is>
          <t>2021-05-23</t>
        </is>
      </c>
      <c r="B400" t="inlineStr">
        <is>
          <t>news</t>
        </is>
      </c>
      <c r="C400" t="inlineStr">
        <is>
          <t>economy</t>
        </is>
      </c>
      <c r="D400" t="inlineStr">
        <is>
          <t>뉴시스</t>
        </is>
      </c>
      <c r="E400" t="inlineStr">
        <is>
          <t>추상철</t>
        </is>
      </c>
      <c r="F400" t="inlineStr">
        <is>
          <t>SK이노베이션 전기차 배터리 공장 시찰하는 문재인 대통령</t>
        </is>
      </c>
      <c r="G400" s="2">
        <f>HYPERLINK("http://www.newsis.com/view/?id=NISI20210523_0017482602", "Go to Website")</f>
        <v/>
      </c>
      <c r="H400" t="inlineStr"/>
      <c r="I400" t="inlineStr">
        <is>
          <t>100</t>
        </is>
      </c>
      <c r="J400" s="3" t="n">
        <v>0.6879999999999999</v>
      </c>
      <c r="K400" t="inlineStr">
        <is>
          <t>분류 제외, 기타</t>
        </is>
      </c>
      <c r="L400" t="inlineStr">
        <is>
          <t>0</t>
        </is>
      </c>
      <c r="M400" s="3" t="n">
        <v>0.907</v>
      </c>
      <c r="N400" t="inlineStr">
        <is>
          <t>중립</t>
        </is>
      </c>
    </row>
    <row r="401">
      <c r="A401" s="1" t="inlineStr">
        <is>
          <t>2021-05-23</t>
        </is>
      </c>
      <c r="B401" t="inlineStr">
        <is>
          <t>news</t>
        </is>
      </c>
      <c r="C401" t="inlineStr">
        <is>
          <t>economy</t>
        </is>
      </c>
      <c r="D401" t="inlineStr">
        <is>
          <t>뉴시스</t>
        </is>
      </c>
      <c r="E401" t="inlineStr">
        <is>
          <t>추상철</t>
        </is>
      </c>
      <c r="F401" t="inlineStr">
        <is>
          <t>SK이노베이션 전기차 배터리공장 방문하는 문재인 대통령</t>
        </is>
      </c>
      <c r="G401" s="2">
        <f>HYPERLINK("http://www.newsis.com/view/?id=NISI20210523_0017482591", "Go to Website")</f>
        <v/>
      </c>
      <c r="H401" t="inlineStr"/>
      <c r="I401" t="inlineStr">
        <is>
          <t>K64</t>
        </is>
      </c>
      <c r="J401" s="3" t="n">
        <v>0.875</v>
      </c>
      <c r="K401" t="inlineStr">
        <is>
          <t>금융업</t>
        </is>
      </c>
      <c r="L401" t="inlineStr">
        <is>
          <t>0</t>
        </is>
      </c>
      <c r="M401" s="3" t="n">
        <v>0.772</v>
      </c>
      <c r="N401" t="inlineStr">
        <is>
          <t>중립</t>
        </is>
      </c>
    </row>
    <row r="402">
      <c r="A402" s="1" t="inlineStr">
        <is>
          <t>2021-05-23</t>
        </is>
      </c>
      <c r="B402" t="inlineStr">
        <is>
          <t>news</t>
        </is>
      </c>
      <c r="C402" t="inlineStr">
        <is>
          <t>economy</t>
        </is>
      </c>
      <c r="D402" t="inlineStr">
        <is>
          <t>뉴시스</t>
        </is>
      </c>
      <c r="E402" t="inlineStr">
        <is>
          <t>추상철</t>
        </is>
      </c>
      <c r="F402" t="inlineStr">
        <is>
          <t>조지아주 SK이노베이션 전기차 배터리공장 방문한 문재인 대통령</t>
        </is>
      </c>
      <c r="G402" s="2">
        <f>HYPERLINK("http://www.newsis.com/view/?id=NISI20210523_0017482566", "Go to Website")</f>
        <v/>
      </c>
      <c r="H402" t="inlineStr"/>
      <c r="I402" t="inlineStr">
        <is>
          <t>100</t>
        </is>
      </c>
      <c r="J402" s="3" t="n">
        <v>0.53</v>
      </c>
      <c r="K402" t="inlineStr">
        <is>
          <t>분류 제외, 기타</t>
        </is>
      </c>
      <c r="L402" t="inlineStr">
        <is>
          <t>0</t>
        </is>
      </c>
      <c r="M402" s="3" t="n">
        <v>0.915</v>
      </c>
      <c r="N402" t="inlineStr">
        <is>
          <t>중립</t>
        </is>
      </c>
    </row>
    <row r="403">
      <c r="A403" s="1" t="inlineStr">
        <is>
          <t>2021-05-23</t>
        </is>
      </c>
      <c r="B403" t="inlineStr">
        <is>
          <t>news</t>
        </is>
      </c>
      <c r="C403" t="inlineStr">
        <is>
          <t>economy</t>
        </is>
      </c>
      <c r="D403" t="inlineStr">
        <is>
          <t>뉴시스</t>
        </is>
      </c>
      <c r="E403" t="inlineStr">
        <is>
          <t>추상철</t>
        </is>
      </c>
      <c r="F403" t="inlineStr">
        <is>
          <t>박수치는 문재인 대통령</t>
        </is>
      </c>
      <c r="G403" s="2">
        <f>HYPERLINK("http://www.newsis.com/view/?id=NISI20210523_0017482559", "Go to Website")</f>
        <v/>
      </c>
      <c r="H403" t="inlineStr"/>
      <c r="I403" t="inlineStr">
        <is>
          <t>100</t>
        </is>
      </c>
      <c r="J403" s="3" t="n">
        <v>0.788</v>
      </c>
      <c r="K403" t="inlineStr">
        <is>
          <t>분류 제외, 기타</t>
        </is>
      </c>
      <c r="L403" t="inlineStr">
        <is>
          <t>0</t>
        </is>
      </c>
      <c r="M403" s="3" t="n">
        <v>0.996</v>
      </c>
      <c r="N403" t="inlineStr">
        <is>
          <t>중립</t>
        </is>
      </c>
    </row>
    <row r="404">
      <c r="A404" s="1" t="inlineStr">
        <is>
          <t>2021-05-23</t>
        </is>
      </c>
      <c r="B404" t="inlineStr">
        <is>
          <t>news</t>
        </is>
      </c>
      <c r="C404" t="inlineStr">
        <is>
          <t>economy</t>
        </is>
      </c>
      <c r="D404" t="inlineStr">
        <is>
          <t>뉴시스</t>
        </is>
      </c>
      <c r="E404" t="inlineStr">
        <is>
          <t>추상철</t>
        </is>
      </c>
      <c r="F404" t="inlineStr">
        <is>
          <t>배터리 재료 설명듣는 문재인 대통령</t>
        </is>
      </c>
      <c r="G404" s="2">
        <f>HYPERLINK("http://www.newsis.com/view/?id=NISI20210523_0017482554", "Go to Website")</f>
        <v/>
      </c>
      <c r="H404" t="inlineStr"/>
      <c r="I404" t="inlineStr">
        <is>
          <t>100</t>
        </is>
      </c>
      <c r="J404" s="3" t="n">
        <v>0.513</v>
      </c>
      <c r="K404" t="inlineStr">
        <is>
          <t>분류 제외, 기타</t>
        </is>
      </c>
      <c r="L404" t="inlineStr">
        <is>
          <t>0</t>
        </is>
      </c>
      <c r="M404" s="3" t="n">
        <v>0.906</v>
      </c>
      <c r="N404" t="inlineStr">
        <is>
          <t>중립</t>
        </is>
      </c>
    </row>
    <row r="405">
      <c r="A405" s="1" t="inlineStr">
        <is>
          <t>2021-05-23</t>
        </is>
      </c>
      <c r="B405" t="inlineStr">
        <is>
          <t>news</t>
        </is>
      </c>
      <c r="C405" t="inlineStr">
        <is>
          <t>economy</t>
        </is>
      </c>
      <c r="D405" t="inlineStr">
        <is>
          <t>뉴시스</t>
        </is>
      </c>
      <c r="E405" t="inlineStr">
        <is>
          <t>추상철</t>
        </is>
      </c>
      <c r="F405" t="inlineStr">
        <is>
          <t>배터리 재료 설명듣는 문재인 대통령</t>
        </is>
      </c>
      <c r="G405" s="2">
        <f>HYPERLINK("http://www.newsis.com/view/?id=NISI20210523_0017482552", "Go to Website")</f>
        <v/>
      </c>
      <c r="H405" t="inlineStr"/>
      <c r="I405" t="inlineStr">
        <is>
          <t>100</t>
        </is>
      </c>
      <c r="J405" s="3" t="n">
        <v>0.574</v>
      </c>
      <c r="K405" t="inlineStr">
        <is>
          <t>분류 제외, 기타</t>
        </is>
      </c>
      <c r="L405" t="inlineStr">
        <is>
          <t>0</t>
        </is>
      </c>
      <c r="M405" s="3" t="n">
        <v>0.909</v>
      </c>
      <c r="N405" t="inlineStr">
        <is>
          <t>중립</t>
        </is>
      </c>
    </row>
    <row r="406">
      <c r="A406" s="1" t="inlineStr">
        <is>
          <t>2021-05-23</t>
        </is>
      </c>
      <c r="B406" t="inlineStr">
        <is>
          <t>news</t>
        </is>
      </c>
      <c r="C406" t="inlineStr">
        <is>
          <t>economy</t>
        </is>
      </c>
      <c r="D406" t="inlineStr">
        <is>
          <t>뉴시스</t>
        </is>
      </c>
      <c r="E406" t="inlineStr">
        <is>
          <t>추상철</t>
        </is>
      </c>
      <c r="F406" t="inlineStr">
        <is>
          <t>문재인 대통령 맞이하는 최태원 회장과 브라이언 켐프 조지아 주지사</t>
        </is>
      </c>
      <c r="G406" s="2">
        <f>HYPERLINK("http://www.newsis.com/view/?id=NISI20210523_0017482563", "Go to Website")</f>
        <v/>
      </c>
      <c r="H406" t="inlineStr"/>
      <c r="I406" t="inlineStr">
        <is>
          <t>C30</t>
        </is>
      </c>
      <c r="J406" s="3" t="n">
        <v>0.505</v>
      </c>
      <c r="K406" t="inlineStr">
        <is>
          <t>자동차 및 트레일러 제조업</t>
        </is>
      </c>
      <c r="L406" t="inlineStr">
        <is>
          <t>0</t>
        </is>
      </c>
      <c r="M406" s="3" t="n">
        <v>0.992</v>
      </c>
      <c r="N406" t="inlineStr">
        <is>
          <t>중립</t>
        </is>
      </c>
    </row>
    <row r="407">
      <c r="A407" s="1" t="inlineStr">
        <is>
          <t>2021-05-23</t>
        </is>
      </c>
      <c r="B407" t="inlineStr">
        <is>
          <t>news</t>
        </is>
      </c>
      <c r="C407" t="inlineStr">
        <is>
          <t>economy</t>
        </is>
      </c>
      <c r="D407" t="inlineStr">
        <is>
          <t>뉴시스</t>
        </is>
      </c>
      <c r="E407" t="inlineStr">
        <is>
          <t>추상철</t>
        </is>
      </c>
      <c r="F407" t="inlineStr">
        <is>
          <t>이야기 나누는 문재인 대통령</t>
        </is>
      </c>
      <c r="G407" s="2">
        <f>HYPERLINK("http://www.newsis.com/view/?id=NISI20210523_0017482550", "Go to Website")</f>
        <v/>
      </c>
      <c r="H407" t="inlineStr"/>
      <c r="I407" t="inlineStr">
        <is>
          <t>100</t>
        </is>
      </c>
      <c r="J407" s="3" t="n">
        <v>0.921</v>
      </c>
      <c r="K407" t="inlineStr">
        <is>
          <t>분류 제외, 기타</t>
        </is>
      </c>
      <c r="L407" t="inlineStr">
        <is>
          <t>0</t>
        </is>
      </c>
      <c r="M407" s="3" t="n">
        <v>0.997</v>
      </c>
      <c r="N407" t="inlineStr">
        <is>
          <t>중립</t>
        </is>
      </c>
    </row>
    <row r="408">
      <c r="A408" s="1" t="inlineStr">
        <is>
          <t>2021-05-23</t>
        </is>
      </c>
      <c r="B408" t="inlineStr">
        <is>
          <t>news</t>
        </is>
      </c>
      <c r="C408" t="inlineStr">
        <is>
          <t>economy</t>
        </is>
      </c>
      <c r="D408" t="inlineStr">
        <is>
          <t>뉴시스</t>
        </is>
      </c>
      <c r="E408" t="inlineStr">
        <is>
          <t>추상철</t>
        </is>
      </c>
      <c r="F408" t="inlineStr">
        <is>
          <t>전기차 배터리공장 시찰하는 문재인 대통령</t>
        </is>
      </c>
      <c r="G408" s="2">
        <f>HYPERLINK("http://www.newsis.com/view/?id=NISI20210523_0017482611", "Go to Website")</f>
        <v/>
      </c>
      <c r="H408" t="inlineStr"/>
      <c r="I408" t="inlineStr">
        <is>
          <t>100</t>
        </is>
      </c>
      <c r="J408" s="3" t="n">
        <v>0.951</v>
      </c>
      <c r="K408" t="inlineStr">
        <is>
          <t>분류 제외, 기타</t>
        </is>
      </c>
      <c r="L408" t="inlineStr">
        <is>
          <t>0</t>
        </is>
      </c>
      <c r="M408" s="3" t="n">
        <v>0.976</v>
      </c>
      <c r="N408" t="inlineStr">
        <is>
          <t>중립</t>
        </is>
      </c>
    </row>
    <row r="409">
      <c r="A409" s="1" t="inlineStr">
        <is>
          <t>2021-05-23</t>
        </is>
      </c>
      <c r="B409" t="inlineStr">
        <is>
          <t>news</t>
        </is>
      </c>
      <c r="C409" t="inlineStr">
        <is>
          <t>economy</t>
        </is>
      </c>
      <c r="D409" t="inlineStr">
        <is>
          <t>뉴시스</t>
        </is>
      </c>
      <c r="E409" t="inlineStr">
        <is>
          <t>추상철</t>
        </is>
      </c>
      <c r="F409" t="inlineStr">
        <is>
          <t>전기차 배터리공장 시찰하는 문재인 대통령</t>
        </is>
      </c>
      <c r="G409" s="2">
        <f>HYPERLINK("http://www.newsis.com/view/?id=NISI20210523_0017482610", "Go to Website")</f>
        <v/>
      </c>
      <c r="H409" t="inlineStr"/>
      <c r="I409" t="inlineStr">
        <is>
          <t>100</t>
        </is>
      </c>
      <c r="J409" s="3" t="n">
        <v>0.951</v>
      </c>
      <c r="K409" t="inlineStr">
        <is>
          <t>분류 제외, 기타</t>
        </is>
      </c>
      <c r="L409" t="inlineStr">
        <is>
          <t>0</t>
        </is>
      </c>
      <c r="M409" s="3" t="n">
        <v>0.976</v>
      </c>
      <c r="N409" t="inlineStr">
        <is>
          <t>중립</t>
        </is>
      </c>
    </row>
    <row r="410">
      <c r="A410" s="1" t="inlineStr">
        <is>
          <t>2021-05-23</t>
        </is>
      </c>
      <c r="B410" t="inlineStr">
        <is>
          <t>news</t>
        </is>
      </c>
      <c r="C410" t="inlineStr">
        <is>
          <t>economy</t>
        </is>
      </c>
      <c r="D410" t="inlineStr">
        <is>
          <t>뉴시스</t>
        </is>
      </c>
      <c r="E410" t="inlineStr">
        <is>
          <t>추상철</t>
        </is>
      </c>
      <c r="F410" t="inlineStr">
        <is>
          <t>공장 시찰하는 문재인 대통령</t>
        </is>
      </c>
      <c r="G410" s="2">
        <f>HYPERLINK("http://www.newsis.com/view/?id=NISI20210523_0017482607", "Go to Website")</f>
        <v/>
      </c>
      <c r="H410" t="inlineStr"/>
      <c r="I410" t="inlineStr">
        <is>
          <t>100</t>
        </is>
      </c>
      <c r="J410" s="3" t="n">
        <v>0.962</v>
      </c>
      <c r="K410" t="inlineStr">
        <is>
          <t>분류 제외, 기타</t>
        </is>
      </c>
      <c r="L410" t="inlineStr">
        <is>
          <t>0</t>
        </is>
      </c>
      <c r="M410" s="3" t="n">
        <v>0.994</v>
      </c>
      <c r="N410" t="inlineStr">
        <is>
          <t>중립</t>
        </is>
      </c>
    </row>
    <row r="411">
      <c r="A411" s="1" t="inlineStr">
        <is>
          <t>2021-05-23</t>
        </is>
      </c>
      <c r="B411" t="inlineStr">
        <is>
          <t>news</t>
        </is>
      </c>
      <c r="C411" t="inlineStr">
        <is>
          <t>economy</t>
        </is>
      </c>
      <c r="D411" t="inlineStr">
        <is>
          <t>뉴시스</t>
        </is>
      </c>
      <c r="E411" t="inlineStr">
        <is>
          <t>추상철</t>
        </is>
      </c>
      <c r="F411" t="inlineStr">
        <is>
          <t>SK이노베이션 조지아공장 전기차 배터리 1공장 시찰하는 문재인 대통령</t>
        </is>
      </c>
      <c r="G411" s="2">
        <f>HYPERLINK("http://www.newsis.com/view/?id=NISI20210523_0017482606", "Go to Website")</f>
        <v/>
      </c>
      <c r="H411" t="inlineStr"/>
      <c r="I411" t="inlineStr">
        <is>
          <t>K64</t>
        </is>
      </c>
      <c r="J411" s="3" t="n">
        <v>0.853</v>
      </c>
      <c r="K411" t="inlineStr">
        <is>
          <t>금융업</t>
        </is>
      </c>
      <c r="L411" t="inlineStr">
        <is>
          <t>0</t>
        </is>
      </c>
      <c r="M411" s="3" t="n">
        <v>0.803</v>
      </c>
      <c r="N411" t="inlineStr">
        <is>
          <t>중립</t>
        </is>
      </c>
    </row>
    <row r="412">
      <c r="A412" s="1" t="inlineStr">
        <is>
          <t>2021-05-23</t>
        </is>
      </c>
      <c r="B412" t="inlineStr">
        <is>
          <t>news</t>
        </is>
      </c>
      <c r="C412" t="inlineStr">
        <is>
          <t>economy</t>
        </is>
      </c>
      <c r="D412" t="inlineStr">
        <is>
          <t>뉴시스</t>
        </is>
      </c>
      <c r="E412" t="inlineStr">
        <is>
          <t>추상철</t>
        </is>
      </c>
      <c r="F412" t="inlineStr">
        <is>
          <t>방진복 입은 문재인 대통령</t>
        </is>
      </c>
      <c r="G412" s="2">
        <f>HYPERLINK("http://www.newsis.com/view/?id=NISI20210523_0017482603", "Go to Website")</f>
        <v/>
      </c>
      <c r="H412" t="inlineStr"/>
      <c r="I412" t="inlineStr">
        <is>
          <t>100</t>
        </is>
      </c>
      <c r="J412" s="3" t="n">
        <v>0.984</v>
      </c>
      <c r="K412" t="inlineStr">
        <is>
          <t>분류 제외, 기타</t>
        </is>
      </c>
      <c r="L412" t="inlineStr">
        <is>
          <t>0</t>
        </is>
      </c>
      <c r="M412" s="3" t="n">
        <v>0.995</v>
      </c>
      <c r="N412" t="inlineStr">
        <is>
          <t>중립</t>
        </is>
      </c>
    </row>
    <row r="413">
      <c r="A413" s="1" t="inlineStr">
        <is>
          <t>2021-05-23</t>
        </is>
      </c>
      <c r="B413" t="inlineStr">
        <is>
          <t>news</t>
        </is>
      </c>
      <c r="C413" t="inlineStr">
        <is>
          <t>economy</t>
        </is>
      </c>
      <c r="D413" t="inlineStr">
        <is>
          <t>뉴시스</t>
        </is>
      </c>
      <c r="E413" t="inlineStr">
        <is>
          <t>추상철</t>
        </is>
      </c>
      <c r="F413" t="inlineStr">
        <is>
          <t>공장 시찰하는 문재인 대통령</t>
        </is>
      </c>
      <c r="G413" s="2">
        <f>HYPERLINK("http://www.newsis.com/view/?id=NISI20210523_0017482599", "Go to Website")</f>
        <v/>
      </c>
      <c r="H413" t="inlineStr"/>
      <c r="I413" t="inlineStr">
        <is>
          <t>100</t>
        </is>
      </c>
      <c r="J413" s="3" t="n">
        <v>0.962</v>
      </c>
      <c r="K413" t="inlineStr">
        <is>
          <t>분류 제외, 기타</t>
        </is>
      </c>
      <c r="L413" t="inlineStr">
        <is>
          <t>0</t>
        </is>
      </c>
      <c r="M413" s="3" t="n">
        <v>0.994</v>
      </c>
      <c r="N413" t="inlineStr">
        <is>
          <t>중립</t>
        </is>
      </c>
    </row>
    <row r="414">
      <c r="A414" s="1" t="inlineStr">
        <is>
          <t>2021-05-23</t>
        </is>
      </c>
      <c r="B414" t="inlineStr">
        <is>
          <t>news</t>
        </is>
      </c>
      <c r="C414" t="inlineStr">
        <is>
          <t>economy</t>
        </is>
      </c>
      <c r="D414" t="inlineStr">
        <is>
          <t>연합뉴스</t>
        </is>
      </c>
      <c r="E414" t="inlineStr">
        <is>
          <t>김은경</t>
        </is>
      </c>
      <c r="F414" t="inlineStr">
        <is>
          <t>'넥쏘' 인기에 수소차 보조금 빠른 소진…일부 지자체 여력 없어</t>
        </is>
      </c>
      <c r="G414" s="2">
        <f>HYPERLINK("http://yna.kr/AKR20210522027800530?did=1195m", "Go to Website")</f>
        <v/>
      </c>
      <c r="H414" t="inlineStr"/>
      <c r="I414" t="inlineStr">
        <is>
          <t>100</t>
        </is>
      </c>
      <c r="J414" s="3" t="n">
        <v>0.333</v>
      </c>
      <c r="K414" t="inlineStr">
        <is>
          <t>분류 제외, 기타</t>
        </is>
      </c>
      <c r="L414" t="inlineStr"/>
      <c r="M414" t="inlineStr"/>
      <c r="N414" t="inlineStr"/>
    </row>
    <row r="415">
      <c r="A415" s="1" t="inlineStr">
        <is>
          <t>2021-05-23</t>
        </is>
      </c>
      <c r="B415" t="inlineStr">
        <is>
          <t>news</t>
        </is>
      </c>
      <c r="C415" t="inlineStr">
        <is>
          <t>economy</t>
        </is>
      </c>
      <c r="D415" t="inlineStr">
        <is>
          <t>머니투데이</t>
        </is>
      </c>
      <c r="E415" t="inlineStr"/>
      <c r="F415" t="inlineStr">
        <is>
          <t>바이든이 탔다…美·中 전기차 경쟁, 누가 이길까 [차이나는 중국]</t>
        </is>
      </c>
      <c r="G415" s="2">
        <f>HYPERLINK("http://news.mt.co.kr/mtview.php?no=2021052114162844439", "Go to Website")</f>
        <v/>
      </c>
      <c r="H415" t="inlineStr"/>
      <c r="I415" t="inlineStr">
        <is>
          <t>100</t>
        </is>
      </c>
      <c r="J415" s="3" t="n">
        <v>0.927</v>
      </c>
      <c r="K415" t="inlineStr">
        <is>
          <t>분류 제외, 기타</t>
        </is>
      </c>
      <c r="L415" t="inlineStr"/>
      <c r="M415" t="inlineStr"/>
      <c r="N415" t="inlineStr"/>
    </row>
    <row r="416">
      <c r="A416" s="1" t="inlineStr">
        <is>
          <t>2021-05-23</t>
        </is>
      </c>
      <c r="B416" t="inlineStr">
        <is>
          <t>news</t>
        </is>
      </c>
      <c r="C416" t="inlineStr">
        <is>
          <t>economy</t>
        </is>
      </c>
      <c r="D416" t="inlineStr">
        <is>
          <t>데일리안</t>
        </is>
      </c>
      <c r="E416" t="inlineStr">
        <is>
          <t>박영국</t>
        </is>
      </c>
      <c r="F416" t="inlineStr">
        <is>
          <t>美자동차 빅2 나눠가진 LG-SK, '기술분쟁'에서 '패권경쟁'으로</t>
        </is>
      </c>
      <c r="G416" s="2">
        <f>HYPERLINK("https://www.dailian.co.kr/news/view/993634/", "Go to Website")</f>
        <v/>
      </c>
      <c r="H416" t="inlineStr"/>
      <c r="I416" t="inlineStr">
        <is>
          <t>C28</t>
        </is>
      </c>
      <c r="J416" s="3" t="n">
        <v>0.973</v>
      </c>
      <c r="K416" t="inlineStr">
        <is>
          <t>전기장비 제조업</t>
        </is>
      </c>
      <c r="L416" t="inlineStr"/>
      <c r="M416" t="inlineStr"/>
      <c r="N416" t="inlineStr"/>
    </row>
    <row r="417">
      <c r="A417" s="1" t="inlineStr">
        <is>
          <t>2021-05-23</t>
        </is>
      </c>
      <c r="B417" t="inlineStr">
        <is>
          <t>news</t>
        </is>
      </c>
      <c r="C417" t="inlineStr">
        <is>
          <t>economy</t>
        </is>
      </c>
      <c r="D417" t="inlineStr">
        <is>
          <t>뉴시스</t>
        </is>
      </c>
      <c r="E417" t="inlineStr">
        <is>
          <t>이재준</t>
        </is>
      </c>
      <c r="F417" t="inlineStr">
        <is>
          <t>머스크, 다시 '암호화폐 지지' 트윗..."상승 추이 주목"</t>
        </is>
      </c>
      <c r="G417" s="2">
        <f>HYPERLINK("http://www.newsis.com/view/?id=NISX20210523_0001449798&amp;cID=10101&amp;pID=10100", "Go to Website")</f>
        <v/>
      </c>
      <c r="H417" t="inlineStr"/>
      <c r="I417" t="inlineStr">
        <is>
          <t>100</t>
        </is>
      </c>
      <c r="J417" s="3" t="n">
        <v>0.6</v>
      </c>
      <c r="K417" t="inlineStr">
        <is>
          <t>분류 제외, 기타</t>
        </is>
      </c>
      <c r="L417" t="inlineStr"/>
      <c r="M417" t="inlineStr"/>
      <c r="N417" t="inlineStr"/>
    </row>
    <row r="418">
      <c r="A418" s="1" t="inlineStr">
        <is>
          <t>2021-05-23</t>
        </is>
      </c>
      <c r="B418" t="inlineStr">
        <is>
          <t>news</t>
        </is>
      </c>
      <c r="C418" t="inlineStr">
        <is>
          <t>economy</t>
        </is>
      </c>
      <c r="D418" t="inlineStr">
        <is>
          <t>YTN</t>
        </is>
      </c>
      <c r="E418" t="inlineStr">
        <is>
          <t>이종수</t>
        </is>
      </c>
      <c r="F418" t="inlineStr">
        <is>
          <t>44조 대미 투자...반도체·전기차 글로벌 지위 강화</t>
        </is>
      </c>
      <c r="G418" s="2">
        <f>HYPERLINK("https://www.ytn.co.kr/_ln/0102_202105230333584293", "Go to Website")</f>
        <v/>
      </c>
      <c r="H418" t="inlineStr"/>
      <c r="I418" t="inlineStr">
        <is>
          <t>100</t>
        </is>
      </c>
      <c r="J418" s="3" t="n">
        <v>1</v>
      </c>
      <c r="K418" t="inlineStr">
        <is>
          <t>분류 제외, 기타</t>
        </is>
      </c>
      <c r="L418" t="inlineStr"/>
      <c r="M418" t="inlineStr"/>
      <c r="N418" t="inlineStr"/>
    </row>
    <row r="419">
      <c r="A419" s="1" t="inlineStr">
        <is>
          <t>2021-05-22</t>
        </is>
      </c>
      <c r="B419" t="inlineStr">
        <is>
          <t>news</t>
        </is>
      </c>
      <c r="C419" t="inlineStr">
        <is>
          <t>economy</t>
        </is>
      </c>
      <c r="D419" t="inlineStr">
        <is>
          <t>파이낸셜뉴스</t>
        </is>
      </c>
      <c r="E419" t="inlineStr">
        <is>
          <t>홍예지</t>
        </is>
      </c>
      <c r="F419" t="inlineStr">
        <is>
          <t>韓·美 '배터리 동맹' 선언…세계 3대 전기차 시장 美 선점 기대</t>
        </is>
      </c>
      <c r="G419" s="2">
        <f>HYPERLINK("http://www.fnnews.com/news/202105222225054349", "Go to Website")</f>
        <v/>
      </c>
      <c r="H419" t="inlineStr"/>
      <c r="I419" t="inlineStr">
        <is>
          <t>K64</t>
        </is>
      </c>
      <c r="J419" s="3" t="n">
        <v>0.713</v>
      </c>
      <c r="K419" t="inlineStr">
        <is>
          <t>금융업</t>
        </is>
      </c>
      <c r="L419" t="inlineStr">
        <is>
          <t>1</t>
        </is>
      </c>
      <c r="M419" s="3" t="n">
        <v>0.968</v>
      </c>
      <c r="N419" t="inlineStr">
        <is>
          <t>긍정</t>
        </is>
      </c>
    </row>
    <row r="420">
      <c r="A420" s="1" t="inlineStr">
        <is>
          <t>2021-05-22</t>
        </is>
      </c>
      <c r="B420" t="inlineStr">
        <is>
          <t>news</t>
        </is>
      </c>
      <c r="C420" t="inlineStr">
        <is>
          <t>economy</t>
        </is>
      </c>
      <c r="D420" t="inlineStr">
        <is>
          <t>YTN</t>
        </is>
      </c>
      <c r="E420" t="inlineStr">
        <is>
          <t>이종수</t>
        </is>
      </c>
      <c r="F420" t="inlineStr">
        <is>
          <t>44조 대미 투자...반도체·전기차 글로벌 지위 강화</t>
        </is>
      </c>
      <c r="G420" s="2">
        <f>HYPERLINK("https://www.ytn.co.kr/_ln/0102_202105222201140438", "Go to Website")</f>
        <v/>
      </c>
      <c r="H420" t="inlineStr"/>
      <c r="I420" t="inlineStr">
        <is>
          <t>100</t>
        </is>
      </c>
      <c r="J420" s="3" t="n">
        <v>0.999</v>
      </c>
      <c r="K420" t="inlineStr">
        <is>
          <t>분류 제외, 기타</t>
        </is>
      </c>
      <c r="L420" t="inlineStr"/>
      <c r="M420" t="inlineStr"/>
      <c r="N420" t="inlineStr"/>
    </row>
    <row r="421">
      <c r="A421" s="1" t="inlineStr">
        <is>
          <t>2021-05-22</t>
        </is>
      </c>
      <c r="B421" t="inlineStr">
        <is>
          <t>news</t>
        </is>
      </c>
      <c r="C421" t="inlineStr">
        <is>
          <t>economy</t>
        </is>
      </c>
      <c r="D421" t="inlineStr">
        <is>
          <t>KBS</t>
        </is>
      </c>
      <c r="E421" t="inlineStr"/>
      <c r="F421" t="inlineStr">
        <is>
          <t>韓 기업 44조 투자, 바이든 “땡큐”…공급망 구축 협력</t>
        </is>
      </c>
      <c r="G421" s="2">
        <f>HYPERLINK("https://news.kbs.co.kr/news/view.do?ncd=5191597&amp;ref=A", "Go to Website")</f>
        <v/>
      </c>
      <c r="H421" t="inlineStr"/>
      <c r="I421" t="inlineStr">
        <is>
          <t>C27</t>
        </is>
      </c>
      <c r="J421" s="3" t="n">
        <v>0.41</v>
      </c>
      <c r="K421" t="inlineStr">
        <is>
          <t>의료, 정밀, 광학 기기 및 시계 제조업</t>
        </is>
      </c>
      <c r="L421" t="inlineStr"/>
      <c r="M421" t="inlineStr"/>
      <c r="N421" t="inlineStr"/>
    </row>
    <row r="422">
      <c r="A422" s="1" t="inlineStr">
        <is>
          <t>2021-05-22</t>
        </is>
      </c>
      <c r="B422" t="inlineStr">
        <is>
          <t>news</t>
        </is>
      </c>
      <c r="C422" t="inlineStr">
        <is>
          <t>economy</t>
        </is>
      </c>
      <c r="D422" t="inlineStr">
        <is>
          <t>MBC</t>
        </is>
      </c>
      <c r="E422" t="inlineStr">
        <is>
          <t>김민찬</t>
        </is>
      </c>
      <c r="F422" t="inlineStr">
        <is>
          <t>미국에 '44조' 투자…"감사하다" 일으켜 세운 바이든</t>
        </is>
      </c>
      <c r="G422" s="2">
        <f>HYPERLINK("https://imnews.imbc.com/replay/2021/nwdesk/article/6186752_34936.html", "Go to Website")</f>
        <v/>
      </c>
      <c r="H422" t="inlineStr"/>
      <c r="I422" t="inlineStr">
        <is>
          <t>100</t>
        </is>
      </c>
      <c r="J422" s="3" t="n">
        <v>0.77</v>
      </c>
      <c r="K422" t="inlineStr">
        <is>
          <t>분류 제외, 기타</t>
        </is>
      </c>
      <c r="L422" t="inlineStr"/>
      <c r="M422" t="inlineStr"/>
      <c r="N422" t="inlineStr"/>
    </row>
    <row r="423">
      <c r="A423" s="1" t="inlineStr">
        <is>
          <t>2021-05-22</t>
        </is>
      </c>
      <c r="B423" t="inlineStr">
        <is>
          <t>news</t>
        </is>
      </c>
      <c r="C423" t="inlineStr">
        <is>
          <t>economy</t>
        </is>
      </c>
      <c r="D423" t="inlineStr">
        <is>
          <t>헤럴드경제</t>
        </is>
      </c>
      <c r="E423" t="inlineStr">
        <is>
          <t>이정아</t>
        </is>
      </c>
      <c r="F423" t="inlineStr">
        <is>
          <t>한미 정상회담 마친 文, 내일 SK 배터리 공장 찾는다</t>
        </is>
      </c>
      <c r="G423" s="2">
        <f>HYPERLINK("http://news.heraldcorp.com/view.php?ud=20210522000166", "Go to Website")</f>
        <v/>
      </c>
      <c r="H423" t="inlineStr"/>
      <c r="I423" t="inlineStr">
        <is>
          <t>P85</t>
        </is>
      </c>
      <c r="J423" s="3" t="n">
        <v>0.458</v>
      </c>
      <c r="K423" t="inlineStr">
        <is>
          <t>교육 서비스업</t>
        </is>
      </c>
      <c r="L423" t="inlineStr">
        <is>
          <t>0</t>
        </is>
      </c>
      <c r="M423" s="3" t="n">
        <v>0.931</v>
      </c>
      <c r="N423" t="inlineStr">
        <is>
          <t>중립</t>
        </is>
      </c>
    </row>
    <row r="424">
      <c r="A424" s="1" t="inlineStr">
        <is>
          <t>2021-05-22</t>
        </is>
      </c>
      <c r="B424" t="inlineStr">
        <is>
          <t>news</t>
        </is>
      </c>
      <c r="C424" t="inlineStr">
        <is>
          <t>economy</t>
        </is>
      </c>
      <c r="D424" t="inlineStr">
        <is>
          <t>SBS</t>
        </is>
      </c>
      <c r="E424" t="inlineStr">
        <is>
          <t>김정우</t>
        </is>
      </c>
      <c r="F424" t="inlineStr">
        <is>
          <t>44조 투자 한국 4대 기업에, 바이든 "땡큐" "땡큐"</t>
        </is>
      </c>
      <c r="G424" s="2">
        <f>HYPERLINK("https://news.sbs.co.kr/news/endPage.do?news_id=N1006327522", "Go to Website")</f>
        <v/>
      </c>
      <c r="H424" t="inlineStr"/>
      <c r="I424" t="inlineStr">
        <is>
          <t>100</t>
        </is>
      </c>
      <c r="J424" s="3" t="n">
        <v>0.862</v>
      </c>
      <c r="K424" t="inlineStr">
        <is>
          <t>분류 제외, 기타</t>
        </is>
      </c>
      <c r="L424" t="inlineStr"/>
      <c r="M424" t="inlineStr"/>
      <c r="N424" t="inlineStr"/>
    </row>
    <row r="425">
      <c r="A425" s="1" t="inlineStr">
        <is>
          <t>2021-05-22</t>
        </is>
      </c>
      <c r="B425" t="inlineStr">
        <is>
          <t>news</t>
        </is>
      </c>
      <c r="C425" t="inlineStr">
        <is>
          <t>economy</t>
        </is>
      </c>
      <c r="D425" t="inlineStr">
        <is>
          <t>아시아경제</t>
        </is>
      </c>
      <c r="E425" t="inlineStr">
        <is>
          <t>이민우</t>
        </is>
      </c>
      <c r="F425" t="inlineStr">
        <is>
          <t>국내 ETF 순자산총액 사상 첫 60兆 돌파</t>
        </is>
      </c>
      <c r="G425" s="2">
        <f>HYPERLINK("https://view.asiae.co.kr/article/2021052219590495766", "Go to Website")</f>
        <v/>
      </c>
      <c r="H425" t="inlineStr"/>
      <c r="I425" t="inlineStr">
        <is>
          <t>100</t>
        </is>
      </c>
      <c r="J425" s="3" t="n">
        <v>0.372</v>
      </c>
      <c r="K425" t="inlineStr">
        <is>
          <t>분류 제외, 기타</t>
        </is>
      </c>
      <c r="L425" t="inlineStr"/>
      <c r="M425" t="inlineStr"/>
      <c r="N425" t="inlineStr"/>
    </row>
    <row r="426">
      <c r="A426" s="1" t="inlineStr">
        <is>
          <t>2021-05-22</t>
        </is>
      </c>
      <c r="B426" t="inlineStr">
        <is>
          <t>news</t>
        </is>
      </c>
      <c r="C426" t="inlineStr">
        <is>
          <t>economy</t>
        </is>
      </c>
      <c r="D426" t="inlineStr">
        <is>
          <t>머니S</t>
        </is>
      </c>
      <c r="E426" t="inlineStr">
        <is>
          <t>이상훈</t>
        </is>
      </c>
      <c r="F426" t="inlineStr">
        <is>
          <t>한미 경제동맹 강화… 반도체·배터리 '인력양성·공동연구' 협력</t>
        </is>
      </c>
      <c r="G426" s="2">
        <f>HYPERLINK("http://moneys.mt.co.kr/news/mwView.php?no=2021052217258019259", "Go to Website")</f>
        <v/>
      </c>
      <c r="H426" t="inlineStr"/>
      <c r="I426" t="inlineStr">
        <is>
          <t>100</t>
        </is>
      </c>
      <c r="J426" s="3" t="n">
        <v>0.957</v>
      </c>
      <c r="K426" t="inlineStr">
        <is>
          <t>분류 제외, 기타</t>
        </is>
      </c>
      <c r="L426" t="inlineStr"/>
      <c r="M426" t="inlineStr"/>
      <c r="N426" t="inlineStr"/>
    </row>
    <row r="427">
      <c r="A427" s="1" t="inlineStr">
        <is>
          <t>2021-05-22</t>
        </is>
      </c>
      <c r="B427" t="inlineStr">
        <is>
          <t>news</t>
        </is>
      </c>
      <c r="C427" t="inlineStr">
        <is>
          <t>economy</t>
        </is>
      </c>
      <c r="D427" t="inlineStr">
        <is>
          <t>뉴스1</t>
        </is>
      </c>
      <c r="E427" t="inlineStr">
        <is>
          <t>나혜윤</t>
        </is>
      </c>
      <c r="F427" t="inlineStr">
        <is>
          <t>한미, 반도체·배터리 '인력양성·R&amp;D·국제표준' 협력 합의(종합)</t>
        </is>
      </c>
      <c r="G427" s="2">
        <f>HYPERLINK("https://www.news1.kr/articles/?4314390", "Go to Website")</f>
        <v/>
      </c>
      <c r="H427" t="inlineStr"/>
      <c r="I427" t="inlineStr">
        <is>
          <t>100</t>
        </is>
      </c>
      <c r="J427" s="3" t="n">
        <v>0.641</v>
      </c>
      <c r="K427" t="inlineStr">
        <is>
          <t>분류 제외, 기타</t>
        </is>
      </c>
      <c r="L427" t="inlineStr"/>
      <c r="M427" t="inlineStr"/>
      <c r="N427" t="inlineStr"/>
    </row>
    <row r="428">
      <c r="A428" s="1" t="inlineStr">
        <is>
          <t>2021-05-22</t>
        </is>
      </c>
      <c r="B428" t="inlineStr">
        <is>
          <t>news</t>
        </is>
      </c>
      <c r="C428" t="inlineStr">
        <is>
          <t>economy</t>
        </is>
      </c>
      <c r="D428" t="inlineStr">
        <is>
          <t>YTN</t>
        </is>
      </c>
      <c r="E428" t="inlineStr">
        <is>
          <t>이종수</t>
        </is>
      </c>
      <c r="F428" t="inlineStr">
        <is>
          <t>44조 대미 투자...반도체·전기차 글로벌 지위 강화</t>
        </is>
      </c>
      <c r="G428" s="2">
        <f>HYPERLINK("https://www.ytn.co.kr/_ln/0102_202105221701415763", "Go to Website")</f>
        <v/>
      </c>
      <c r="H428" t="inlineStr"/>
      <c r="I428" t="inlineStr">
        <is>
          <t>100</t>
        </is>
      </c>
      <c r="J428" s="3" t="n">
        <v>0.999</v>
      </c>
      <c r="K428" t="inlineStr">
        <is>
          <t>분류 제외, 기타</t>
        </is>
      </c>
      <c r="L428" t="inlineStr"/>
      <c r="M428" t="inlineStr"/>
      <c r="N428" t="inlineStr"/>
    </row>
    <row r="429">
      <c r="A429" s="1" t="inlineStr">
        <is>
          <t>2021-05-22</t>
        </is>
      </c>
      <c r="B429" t="inlineStr">
        <is>
          <t>news</t>
        </is>
      </c>
      <c r="C429" t="inlineStr">
        <is>
          <t>economy</t>
        </is>
      </c>
      <c r="D429" t="inlineStr">
        <is>
          <t>아이뉴스24</t>
        </is>
      </c>
      <c r="E429" t="inlineStr">
        <is>
          <t>강길홍</t>
        </is>
      </c>
      <c r="F429" t="inlineStr">
        <is>
          <t>[시승기] 전기 심장 품은 타이칸, 포르쉐의 영혼은 그대로</t>
        </is>
      </c>
      <c r="G429" s="2">
        <f>HYPERLINK("http://www.inews24.com/view/1369107", "Go to Website")</f>
        <v/>
      </c>
      <c r="H429" t="inlineStr"/>
      <c r="I429" t="inlineStr">
        <is>
          <t>C30</t>
        </is>
      </c>
      <c r="J429" s="3" t="n">
        <v>0.8090000000000001</v>
      </c>
      <c r="K429" t="inlineStr">
        <is>
          <t>자동차 및 트레일러 제조업</t>
        </is>
      </c>
      <c r="L429" t="inlineStr">
        <is>
          <t>0</t>
        </is>
      </c>
      <c r="M429" s="3" t="n">
        <v>0.984</v>
      </c>
      <c r="N429" t="inlineStr">
        <is>
          <t>중립</t>
        </is>
      </c>
    </row>
    <row r="430">
      <c r="A430" s="1" t="inlineStr">
        <is>
          <t>2021-05-22</t>
        </is>
      </c>
      <c r="B430" t="inlineStr">
        <is>
          <t>news</t>
        </is>
      </c>
      <c r="C430" t="inlineStr">
        <is>
          <t>economy</t>
        </is>
      </c>
      <c r="D430" t="inlineStr">
        <is>
          <t>전자신문</t>
        </is>
      </c>
      <c r="E430" t="inlineStr">
        <is>
          <t>윤희석</t>
        </is>
      </c>
      <c r="F430" t="inlineStr">
        <is>
          <t>산업부, 美 상무부와 '핵심산업 공급망 보장' 협력 합의…공동성명 발표</t>
        </is>
      </c>
      <c r="G430" s="2">
        <f>HYPERLINK("http://www.etnews.com/20210522000031", "Go to Website")</f>
        <v/>
      </c>
      <c r="H430" t="inlineStr"/>
      <c r="I430" t="inlineStr">
        <is>
          <t>100</t>
        </is>
      </c>
      <c r="J430" s="3" t="n">
        <v>1</v>
      </c>
      <c r="K430" t="inlineStr">
        <is>
          <t>분류 제외, 기타</t>
        </is>
      </c>
      <c r="L430" t="inlineStr"/>
      <c r="M430" t="inlineStr"/>
      <c r="N430" t="inlineStr"/>
    </row>
    <row r="431">
      <c r="A431" s="1" t="inlineStr">
        <is>
          <t>2021-05-22</t>
        </is>
      </c>
      <c r="B431" t="inlineStr">
        <is>
          <t>news</t>
        </is>
      </c>
      <c r="C431" t="inlineStr">
        <is>
          <t>economy</t>
        </is>
      </c>
      <c r="D431" t="inlineStr">
        <is>
          <t>KBS</t>
        </is>
      </c>
      <c r="E431" t="inlineStr"/>
      <c r="F431" t="inlineStr">
        <is>
          <t>국내 4대기업, 美에 ‘44조원 투자’ 발표…반도체·배터리가 핵심</t>
        </is>
      </c>
      <c r="G431" s="2">
        <f>HYPERLINK("https://news.kbs.co.kr/news/view.do?ncd=5191561&amp;ref=A", "Go to Website")</f>
        <v/>
      </c>
      <c r="H431" t="inlineStr"/>
      <c r="I431" t="inlineStr">
        <is>
          <t>C26</t>
        </is>
      </c>
      <c r="J431" s="3" t="n">
        <v>0.522</v>
      </c>
      <c r="K431" t="inlineStr">
        <is>
          <t>전자 부품, 컴퓨터, 영상, 음향 및 통신장비 제조업</t>
        </is>
      </c>
      <c r="L431" t="inlineStr"/>
      <c r="M431" t="inlineStr"/>
      <c r="N431" t="inlineStr"/>
    </row>
    <row r="432">
      <c r="A432" s="1" t="inlineStr">
        <is>
          <t>2021-05-22</t>
        </is>
      </c>
      <c r="B432" t="inlineStr">
        <is>
          <t>news</t>
        </is>
      </c>
      <c r="C432" t="inlineStr">
        <is>
          <t>economy</t>
        </is>
      </c>
      <c r="D432" t="inlineStr">
        <is>
          <t>한국경제</t>
        </is>
      </c>
      <c r="E432" t="inlineStr">
        <is>
          <t>박신영</t>
        </is>
      </c>
      <c r="F432" t="inlineStr">
        <is>
          <t>삼성家 딸이 LG家 남자와 결혼했을 때 생기는 일 [박신영의 일렉트로맨]</t>
        </is>
      </c>
      <c r="G432" s="2">
        <f>HYPERLINK("https://www.hankyung.com/economy/article/202105228193i", "Go to Website")</f>
        <v/>
      </c>
      <c r="H432" t="inlineStr"/>
      <c r="I432" t="inlineStr">
        <is>
          <t>100</t>
        </is>
      </c>
      <c r="J432" s="3" t="n">
        <v>0.414</v>
      </c>
      <c r="K432" t="inlineStr">
        <is>
          <t>분류 제외, 기타</t>
        </is>
      </c>
      <c r="L432" t="inlineStr"/>
      <c r="M432" t="inlineStr"/>
      <c r="N432" t="inlineStr"/>
    </row>
    <row r="433">
      <c r="A433" s="1" t="inlineStr">
        <is>
          <t>2021-05-22</t>
        </is>
      </c>
      <c r="B433" t="inlineStr">
        <is>
          <t>news</t>
        </is>
      </c>
      <c r="C433" t="inlineStr">
        <is>
          <t>economy</t>
        </is>
      </c>
      <c r="D433" t="inlineStr">
        <is>
          <t>뉴시스</t>
        </is>
      </c>
      <c r="E433" t="inlineStr">
        <is>
          <t>박주연</t>
        </is>
      </c>
      <c r="F433" t="inlineStr">
        <is>
          <t>CJ대한통운, ESG경영 성과 담은 지속가능경영 보고서 발간</t>
        </is>
      </c>
      <c r="G433" s="2">
        <f>HYPERLINK("http://www.newsis.com/view/?id=NISX20210520_0001447607&amp;cID=13001&amp;pID=13000", "Go to Website")</f>
        <v/>
      </c>
      <c r="H433" t="inlineStr"/>
      <c r="I433" t="inlineStr">
        <is>
          <t>H49</t>
        </is>
      </c>
      <c r="J433" s="3" t="n">
        <v>1</v>
      </c>
      <c r="K433" t="inlineStr">
        <is>
          <t>육상 운송 및 파이프라인 운송업</t>
        </is>
      </c>
      <c r="L433" t="inlineStr">
        <is>
          <t>0</t>
        </is>
      </c>
      <c r="M433" s="3" t="n">
        <v>0.822</v>
      </c>
      <c r="N433" t="inlineStr">
        <is>
          <t>중립</t>
        </is>
      </c>
    </row>
    <row r="434">
      <c r="A434" s="1" t="inlineStr">
        <is>
          <t>2021-05-22</t>
        </is>
      </c>
      <c r="B434" t="inlineStr">
        <is>
          <t>news</t>
        </is>
      </c>
      <c r="C434" t="inlineStr">
        <is>
          <t>economy</t>
        </is>
      </c>
      <c r="D434" t="inlineStr">
        <is>
          <t>여성신문</t>
        </is>
      </c>
      <c r="E434" t="inlineStr">
        <is>
          <t>전성운</t>
        </is>
      </c>
      <c r="F434" t="inlineStr">
        <is>
          <t>정부 "한국 기업 투자 인센티브 지원해달라" 미국에 요청</t>
        </is>
      </c>
      <c r="G434" s="2">
        <f>HYPERLINK("http://www.womennews.co.kr/news/articleView.html?idxno=211841", "Go to Website")</f>
        <v/>
      </c>
      <c r="H434" t="inlineStr"/>
      <c r="I434" t="inlineStr">
        <is>
          <t>100</t>
        </is>
      </c>
      <c r="J434" s="3" t="n">
        <v>1</v>
      </c>
      <c r="K434" t="inlineStr">
        <is>
          <t>분류 제외, 기타</t>
        </is>
      </c>
      <c r="L434" t="inlineStr"/>
      <c r="M434" t="inlineStr"/>
      <c r="N434" t="inlineStr"/>
    </row>
    <row r="435">
      <c r="A435" s="1" t="inlineStr">
        <is>
          <t>2021-05-22</t>
        </is>
      </c>
      <c r="B435" t="inlineStr">
        <is>
          <t>news</t>
        </is>
      </c>
      <c r="C435" t="inlineStr">
        <is>
          <t>economy</t>
        </is>
      </c>
      <c r="D435" t="inlineStr">
        <is>
          <t>SBS Biz</t>
        </is>
      </c>
      <c r="E435" t="inlineStr">
        <is>
          <t>정윤형</t>
        </is>
      </c>
      <c r="F435" t="inlineStr">
        <is>
          <t>정부 “韓기업에 투자 인센티브 달라” 미국에 요청</t>
        </is>
      </c>
      <c r="G435" s="2">
        <f>HYPERLINK("https://biz.sbs.co.kr/article_hub/20000016383", "Go to Website")</f>
        <v/>
      </c>
      <c r="H435" t="inlineStr"/>
      <c r="I435" t="inlineStr">
        <is>
          <t>100</t>
        </is>
      </c>
      <c r="J435" s="3" t="n">
        <v>0.999</v>
      </c>
      <c r="K435" t="inlineStr">
        <is>
          <t>분류 제외, 기타</t>
        </is>
      </c>
      <c r="L435" t="inlineStr"/>
      <c r="M435" t="inlineStr"/>
      <c r="N435" t="inlineStr"/>
    </row>
    <row r="436">
      <c r="A436" s="1" t="inlineStr">
        <is>
          <t>2021-05-22</t>
        </is>
      </c>
      <c r="B436" t="inlineStr">
        <is>
          <t>news</t>
        </is>
      </c>
      <c r="C436" t="inlineStr">
        <is>
          <t>economy</t>
        </is>
      </c>
      <c r="D436" t="inlineStr">
        <is>
          <t>헤럴드경제</t>
        </is>
      </c>
      <c r="E436" t="inlineStr"/>
      <c r="F436" t="inlineStr">
        <is>
          <t>정부 “44조 투자 韓기업 인센티브 달라”…美에 요청</t>
        </is>
      </c>
      <c r="G436" s="2">
        <f>HYPERLINK("http://news.heraldcorp.com/view.php?ud=20210522000141", "Go to Website")</f>
        <v/>
      </c>
      <c r="H436" t="inlineStr"/>
      <c r="I436" t="inlineStr">
        <is>
          <t>100</t>
        </is>
      </c>
      <c r="J436" s="3" t="n">
        <v>1</v>
      </c>
      <c r="K436" t="inlineStr">
        <is>
          <t>분류 제외, 기타</t>
        </is>
      </c>
      <c r="L436" t="inlineStr"/>
      <c r="M436" t="inlineStr"/>
      <c r="N436" t="inlineStr"/>
    </row>
    <row r="437">
      <c r="A437" s="1" t="inlineStr">
        <is>
          <t>2021-05-22</t>
        </is>
      </c>
      <c r="B437" t="inlineStr">
        <is>
          <t>news</t>
        </is>
      </c>
      <c r="C437" t="inlineStr">
        <is>
          <t>economy</t>
        </is>
      </c>
      <c r="D437" t="inlineStr">
        <is>
          <t>YTN</t>
        </is>
      </c>
      <c r="E437" t="inlineStr"/>
      <c r="F437" t="inlineStr">
        <is>
          <t>한미 '백신 파트너십' 구축...美에 44조 원 투자</t>
        </is>
      </c>
      <c r="G437" s="2">
        <f>HYPERLINK("https://www.ytn.co.kr/_ln/0102_202105221514437108", "Go to Website")</f>
        <v/>
      </c>
      <c r="H437" t="inlineStr"/>
      <c r="I437" t="inlineStr">
        <is>
          <t>C21</t>
        </is>
      </c>
      <c r="J437" s="3" t="n">
        <v>0.955</v>
      </c>
      <c r="K437" t="inlineStr">
        <is>
          <t>의료용 물질 및 의약품 제조업</t>
        </is>
      </c>
      <c r="L437" t="inlineStr"/>
      <c r="M437" t="inlineStr"/>
      <c r="N437" t="inlineStr"/>
    </row>
    <row r="438">
      <c r="A438" s="1" t="inlineStr">
        <is>
          <t>2021-05-22</t>
        </is>
      </c>
      <c r="B438" t="inlineStr">
        <is>
          <t>news</t>
        </is>
      </c>
      <c r="C438" t="inlineStr">
        <is>
          <t>economy</t>
        </is>
      </c>
      <c r="D438" t="inlineStr">
        <is>
          <t>MBN</t>
        </is>
      </c>
      <c r="E438" t="inlineStr">
        <is>
          <t>백길종</t>
        </is>
      </c>
      <c r="F438" t="inlineStr">
        <is>
          <t>바이든, 韓경제사절단에 "땡큐" 연발…신규투자 어디에?</t>
        </is>
      </c>
      <c r="G438" s="2">
        <f>HYPERLINK("http://mbn.mk.co.kr/pages/news/newsView.php?category=mbn00003&amp;news_seq_no=4508655", "Go to Website")</f>
        <v/>
      </c>
      <c r="H438" t="inlineStr"/>
      <c r="I438" t="inlineStr">
        <is>
          <t>B07</t>
        </is>
      </c>
      <c r="J438" s="3" t="n">
        <v>0.492</v>
      </c>
      <c r="K438" t="inlineStr">
        <is>
          <t>비금속광물 광업; 연료용 제외</t>
        </is>
      </c>
      <c r="L438" t="inlineStr"/>
      <c r="M438" t="inlineStr"/>
      <c r="N438" t="inlineStr"/>
    </row>
    <row r="439">
      <c r="A439" s="1" t="inlineStr">
        <is>
          <t>2021-05-22</t>
        </is>
      </c>
      <c r="B439" t="inlineStr">
        <is>
          <t>news</t>
        </is>
      </c>
      <c r="C439" t="inlineStr">
        <is>
          <t>economy</t>
        </is>
      </c>
      <c r="D439" t="inlineStr">
        <is>
          <t>뉴스1</t>
        </is>
      </c>
      <c r="E439" t="inlineStr">
        <is>
          <t>류정민</t>
        </is>
      </c>
      <c r="F439" t="inlineStr">
        <is>
          <t>한미 "반도체·배터리 공급망 협력"…44조 대미 투자도 탄력(종합)</t>
        </is>
      </c>
      <c r="G439" s="2">
        <f>HYPERLINK("https://www.news1.kr/articles/?4314416", "Go to Website")</f>
        <v/>
      </c>
      <c r="H439" t="inlineStr"/>
      <c r="I439" t="inlineStr">
        <is>
          <t>K64</t>
        </is>
      </c>
      <c r="J439" s="3" t="n">
        <v>0.361</v>
      </c>
      <c r="K439" t="inlineStr">
        <is>
          <t>금융업</t>
        </is>
      </c>
      <c r="L439" t="inlineStr"/>
      <c r="M439" t="inlineStr"/>
      <c r="N439" t="inlineStr"/>
    </row>
    <row r="440">
      <c r="A440" s="1" t="inlineStr">
        <is>
          <t>2021-05-22</t>
        </is>
      </c>
      <c r="B440" t="inlineStr">
        <is>
          <t>news</t>
        </is>
      </c>
      <c r="C440" t="inlineStr">
        <is>
          <t>economy</t>
        </is>
      </c>
      <c r="D440" t="inlineStr">
        <is>
          <t>연합뉴스</t>
        </is>
      </c>
      <c r="E440" t="inlineStr">
        <is>
          <t>윤보람</t>
        </is>
      </c>
      <c r="F440" t="inlineStr">
        <is>
          <t>정부 "44조원 투자 우리 기업에 인센티브 달라"…美에 요청(종합)</t>
        </is>
      </c>
      <c r="G440" s="2">
        <f>HYPERLINK("http://yna.kr/AKR20210522004751003?did=1195m", "Go to Website")</f>
        <v/>
      </c>
      <c r="H440" t="inlineStr"/>
      <c r="I440" t="inlineStr">
        <is>
          <t>100</t>
        </is>
      </c>
      <c r="J440" s="3" t="n">
        <v>0.968</v>
      </c>
      <c r="K440" t="inlineStr">
        <is>
          <t>분류 제외, 기타</t>
        </is>
      </c>
      <c r="L440" t="inlineStr"/>
      <c r="M440" t="inlineStr"/>
      <c r="N440" t="inlineStr"/>
    </row>
    <row r="441">
      <c r="A441" s="1" t="inlineStr">
        <is>
          <t>2021-05-22</t>
        </is>
      </c>
      <c r="B441" t="inlineStr">
        <is>
          <t>news</t>
        </is>
      </c>
      <c r="C441" t="inlineStr">
        <is>
          <t>economy</t>
        </is>
      </c>
      <c r="D441" t="inlineStr">
        <is>
          <t>한국경제TV</t>
        </is>
      </c>
      <c r="E441" t="inlineStr">
        <is>
          <t>신선미</t>
        </is>
      </c>
      <c r="F441" t="inlineStr">
        <is>
          <t>[단독] 쉐보레 신형 전기차 '볼트 EUV' 포착…아이오닉5·EV6와 경쟁</t>
        </is>
      </c>
      <c r="G441" s="2">
        <f>HYPERLINK("http://www.wowtv.co.kr/NewsCenter/News/Read?articleId=A202105220052&amp;t=NN", "Go to Website")</f>
        <v/>
      </c>
      <c r="H441" t="inlineStr"/>
      <c r="I441" t="inlineStr">
        <is>
          <t>C26</t>
        </is>
      </c>
      <c r="J441" s="3" t="n">
        <v>0.931</v>
      </c>
      <c r="K441" t="inlineStr">
        <is>
          <t>전자 부품, 컴퓨터, 영상, 음향 및 통신장비 제조업</t>
        </is>
      </c>
      <c r="L441" t="inlineStr"/>
      <c r="M441" t="inlineStr"/>
      <c r="N441" t="inlineStr"/>
    </row>
    <row r="442">
      <c r="A442" s="1" t="inlineStr">
        <is>
          <t>2021-05-22</t>
        </is>
      </c>
      <c r="B442" t="inlineStr">
        <is>
          <t>news</t>
        </is>
      </c>
      <c r="C442" t="inlineStr">
        <is>
          <t>economy</t>
        </is>
      </c>
      <c r="D442" t="inlineStr">
        <is>
          <t>머니투데이</t>
        </is>
      </c>
      <c r="E442" t="inlineStr">
        <is>
          <t>안재용</t>
        </is>
      </c>
      <c r="F442" t="inlineStr">
        <is>
          <t>韓·美 "반도체·배터리·백신 핵심 공급망 협력 강화하겠다"</t>
        </is>
      </c>
      <c r="G442" s="2">
        <f>HYPERLINK("http://news.mt.co.kr/mtview.php?no=2021052212361175246", "Go to Website")</f>
        <v/>
      </c>
      <c r="H442" t="inlineStr"/>
      <c r="I442" t="inlineStr">
        <is>
          <t>100</t>
        </is>
      </c>
      <c r="J442" s="3" t="n">
        <v>0.276</v>
      </c>
      <c r="K442" t="inlineStr">
        <is>
          <t>분류 제외, 기타</t>
        </is>
      </c>
      <c r="L442" t="inlineStr"/>
      <c r="M442" t="inlineStr"/>
      <c r="N442" t="inlineStr"/>
    </row>
    <row r="443">
      <c r="A443" s="1" t="inlineStr">
        <is>
          <t>2021-05-22</t>
        </is>
      </c>
      <c r="B443" t="inlineStr">
        <is>
          <t>news</t>
        </is>
      </c>
      <c r="C443" t="inlineStr">
        <is>
          <t>economy</t>
        </is>
      </c>
      <c r="D443" t="inlineStr">
        <is>
          <t>뉴스1</t>
        </is>
      </c>
      <c r="E443" t="inlineStr">
        <is>
          <t>김현</t>
        </is>
      </c>
      <c r="F443" t="inlineStr">
        <is>
          <t>문대통령 방미 마지막날…SK이노베이션 배터리 공장 방문</t>
        </is>
      </c>
      <c r="G443" s="2">
        <f>HYPERLINK("https://www.news1.kr/articles/?4314360", "Go to Website")</f>
        <v/>
      </c>
      <c r="H443" t="inlineStr"/>
      <c r="I443" t="inlineStr">
        <is>
          <t>I56</t>
        </is>
      </c>
      <c r="J443" s="3" t="n">
        <v>0.994</v>
      </c>
      <c r="K443" t="inlineStr">
        <is>
          <t>음식점 및 주점업</t>
        </is>
      </c>
      <c r="L443" t="inlineStr">
        <is>
          <t>0</t>
        </is>
      </c>
      <c r="M443" s="3" t="n">
        <v>0.991</v>
      </c>
      <c r="N443" t="inlineStr">
        <is>
          <t>중립</t>
        </is>
      </c>
    </row>
    <row r="444">
      <c r="A444" s="1" t="inlineStr">
        <is>
          <t>2021-05-22</t>
        </is>
      </c>
      <c r="B444" t="inlineStr">
        <is>
          <t>news</t>
        </is>
      </c>
      <c r="C444" t="inlineStr">
        <is>
          <t>economy</t>
        </is>
      </c>
      <c r="D444" t="inlineStr">
        <is>
          <t>이데일리</t>
        </is>
      </c>
      <c r="E444" t="inlineStr">
        <is>
          <t>김관용</t>
        </is>
      </c>
      <c r="F444" t="inlineStr">
        <is>
          <t>국내 대기업, 美에 44조 투자…한·미 '경제동맹' 강화</t>
        </is>
      </c>
      <c r="G444" s="2">
        <f>HYPERLINK("http://www.edaily.co.kr/news/newspath.asp?newsid=01600646629051544", "Go to Website")</f>
        <v/>
      </c>
      <c r="H444" t="inlineStr"/>
      <c r="I444" t="inlineStr">
        <is>
          <t>C17</t>
        </is>
      </c>
      <c r="J444" s="3" t="n">
        <v>0.451</v>
      </c>
      <c r="K444" t="inlineStr">
        <is>
          <t>펄프, 종이 및 종이제품 제조업</t>
        </is>
      </c>
      <c r="L444" t="inlineStr"/>
      <c r="M444" t="inlineStr"/>
      <c r="N444" t="inlineStr"/>
    </row>
    <row r="445">
      <c r="A445" s="1" t="inlineStr">
        <is>
          <t>2021-05-22</t>
        </is>
      </c>
      <c r="B445" t="inlineStr">
        <is>
          <t>news</t>
        </is>
      </c>
      <c r="C445" t="inlineStr">
        <is>
          <t>economy</t>
        </is>
      </c>
      <c r="D445" t="inlineStr">
        <is>
          <t>연합뉴스TV</t>
        </is>
      </c>
      <c r="E445" t="inlineStr"/>
      <c r="F445" t="inlineStr">
        <is>
          <t>[뉴스초점] 4대그룹, 美에 44조 원 투자…바이든 "땡큐 땡큐 땡큐"</t>
        </is>
      </c>
      <c r="G445" s="2">
        <f>HYPERLINK("http://www.yonhapnewstv.co.kr/MYH20210522006900038/?did=1825m", "Go to Website")</f>
        <v/>
      </c>
      <c r="H445" t="inlineStr"/>
      <c r="I445" t="inlineStr">
        <is>
          <t>C17</t>
        </is>
      </c>
      <c r="J445" s="3" t="n">
        <v>0.434</v>
      </c>
      <c r="K445" t="inlineStr">
        <is>
          <t>펄프, 종이 및 종이제품 제조업</t>
        </is>
      </c>
      <c r="L445" t="inlineStr"/>
      <c r="M445" t="inlineStr"/>
      <c r="N445" t="inlineStr"/>
    </row>
    <row r="446">
      <c r="A446" s="1" t="inlineStr">
        <is>
          <t>2021-05-22</t>
        </is>
      </c>
      <c r="B446" t="inlineStr">
        <is>
          <t>news</t>
        </is>
      </c>
      <c r="C446" t="inlineStr">
        <is>
          <t>economy</t>
        </is>
      </c>
      <c r="D446" t="inlineStr">
        <is>
          <t>이코노미스트</t>
        </is>
      </c>
      <c r="E446" t="inlineStr">
        <is>
          <t>박정식</t>
        </is>
      </c>
      <c r="F446" t="inlineStr">
        <is>
          <t>한국 제조와 미국 혁신 서로 보완해 양국 경제 ‘윈윈’</t>
        </is>
      </c>
      <c r="G446" s="2">
        <f>HYPERLINK("https://economist.co.kr/2021/05/22/industry/normal/20210522134500276.html", "Go to Website")</f>
        <v/>
      </c>
      <c r="H446" t="inlineStr"/>
      <c r="I446" t="inlineStr">
        <is>
          <t>K64</t>
        </is>
      </c>
      <c r="J446" s="3" t="n">
        <v>0.625</v>
      </c>
      <c r="K446" t="inlineStr">
        <is>
          <t>금융업</t>
        </is>
      </c>
      <c r="L446" t="inlineStr"/>
      <c r="M446" t="inlineStr"/>
      <c r="N446" t="inlineStr"/>
    </row>
    <row r="447">
      <c r="A447" s="1" t="inlineStr">
        <is>
          <t>2021-05-22</t>
        </is>
      </c>
      <c r="B447" t="inlineStr">
        <is>
          <t>news</t>
        </is>
      </c>
      <c r="C447" t="inlineStr">
        <is>
          <t>economy</t>
        </is>
      </c>
      <c r="D447" t="inlineStr">
        <is>
          <t>매일경제</t>
        </is>
      </c>
      <c r="E447" t="inlineStr">
        <is>
          <t>매경닷컴</t>
        </is>
      </c>
      <c r="F447" t="inlineStr">
        <is>
          <t>'정상회담 마친' 문대통령, SK이노베이션 공장 방문</t>
        </is>
      </c>
      <c r="G447" s="2">
        <f>HYPERLINK("http://news.mk.co.kr/newsRead.php?no=493605&amp;year=2021", "Go to Website")</f>
        <v/>
      </c>
      <c r="H447" t="inlineStr"/>
      <c r="I447" t="inlineStr">
        <is>
          <t>K64</t>
        </is>
      </c>
      <c r="J447" s="3" t="n">
        <v>0.864</v>
      </c>
      <c r="K447" t="inlineStr">
        <is>
          <t>금융업</t>
        </is>
      </c>
      <c r="L447" t="inlineStr">
        <is>
          <t>0</t>
        </is>
      </c>
      <c r="M447" s="3" t="n">
        <v>0.855</v>
      </c>
      <c r="N447" t="inlineStr">
        <is>
          <t>중립</t>
        </is>
      </c>
    </row>
    <row r="448">
      <c r="A448" s="1" t="inlineStr">
        <is>
          <t>2021-05-22</t>
        </is>
      </c>
      <c r="B448" t="inlineStr">
        <is>
          <t>news</t>
        </is>
      </c>
      <c r="C448" t="inlineStr">
        <is>
          <t>economy</t>
        </is>
      </c>
      <c r="D448" t="inlineStr">
        <is>
          <t>SBS Biz</t>
        </is>
      </c>
      <c r="E448" t="inlineStr">
        <is>
          <t>정윤형</t>
        </is>
      </c>
      <c r="F448" t="inlineStr">
        <is>
          <t>정상회담 마무리 文대통령, 내일 조지아주 SK 배터리 공장 방문</t>
        </is>
      </c>
      <c r="G448" s="2">
        <f>HYPERLINK("https://biz.sbs.co.kr/article_hub/20000016380", "Go to Website")</f>
        <v/>
      </c>
      <c r="H448" t="inlineStr"/>
      <c r="I448" t="inlineStr">
        <is>
          <t>K64</t>
        </is>
      </c>
      <c r="J448" s="3" t="n">
        <v>0.902</v>
      </c>
      <c r="K448" t="inlineStr">
        <is>
          <t>금융업</t>
        </is>
      </c>
      <c r="L448" t="inlineStr">
        <is>
          <t>0</t>
        </is>
      </c>
      <c r="M448" s="3" t="n">
        <v>0.952</v>
      </c>
      <c r="N448" t="inlineStr">
        <is>
          <t>중립</t>
        </is>
      </c>
    </row>
    <row r="449">
      <c r="A449" s="1" t="inlineStr">
        <is>
          <t>2021-05-22</t>
        </is>
      </c>
      <c r="B449" t="inlineStr">
        <is>
          <t>news</t>
        </is>
      </c>
      <c r="C449" t="inlineStr">
        <is>
          <t>economy</t>
        </is>
      </c>
      <c r="D449" t="inlineStr">
        <is>
          <t>파이낸셜뉴스</t>
        </is>
      </c>
      <c r="E449" t="inlineStr">
        <is>
          <t>김경민</t>
        </is>
      </c>
      <c r="F449" t="inlineStr">
        <is>
          <t>韓기업, 44조 투자로 한미 '반도체·배터리·바이오' 동맹 구축</t>
        </is>
      </c>
      <c r="G449" s="2">
        <f>HYPERLINK("http://www.fnnews.com/news/202105221312179543", "Go to Website")</f>
        <v/>
      </c>
      <c r="H449" t="inlineStr"/>
      <c r="I449" t="inlineStr">
        <is>
          <t>K64</t>
        </is>
      </c>
      <c r="J449" s="3" t="n">
        <v>0.397</v>
      </c>
      <c r="K449" t="inlineStr">
        <is>
          <t>금융업</t>
        </is>
      </c>
      <c r="L449" t="inlineStr"/>
      <c r="M449" t="inlineStr"/>
      <c r="N449" t="inlineStr"/>
    </row>
    <row r="450">
      <c r="A450" s="1" t="inlineStr">
        <is>
          <t>2021-05-22</t>
        </is>
      </c>
      <c r="B450" t="inlineStr">
        <is>
          <t>news</t>
        </is>
      </c>
      <c r="C450" t="inlineStr">
        <is>
          <t>economy</t>
        </is>
      </c>
      <c r="D450" t="inlineStr">
        <is>
          <t>뉴시스</t>
        </is>
      </c>
      <c r="E450" t="inlineStr">
        <is>
          <t>옥승욱</t>
        </is>
      </c>
      <c r="F450" t="inlineStr">
        <is>
          <t>바이든, 44조 투자한 삼성 현대 SK LG 부르며 "감사, 감사"(종합)</t>
        </is>
      </c>
      <c r="G450" s="2">
        <f>HYPERLINK("http://www.newsis.com/view/?id=NISX20210522_0001449527&amp;cID=13001&amp;pID=13000", "Go to Website")</f>
        <v/>
      </c>
      <c r="H450" t="inlineStr"/>
      <c r="I450" t="inlineStr">
        <is>
          <t>K64</t>
        </is>
      </c>
      <c r="J450" s="3" t="n">
        <v>0.5</v>
      </c>
      <c r="K450" t="inlineStr">
        <is>
          <t>금융업</t>
        </is>
      </c>
      <c r="L450" t="inlineStr"/>
      <c r="M450" t="inlineStr"/>
      <c r="N450" t="inlineStr"/>
    </row>
    <row r="451">
      <c r="A451" s="1" t="inlineStr">
        <is>
          <t>2021-05-22</t>
        </is>
      </c>
      <c r="B451" t="inlineStr">
        <is>
          <t>news</t>
        </is>
      </c>
      <c r="C451" t="inlineStr">
        <is>
          <t>economy</t>
        </is>
      </c>
      <c r="D451" t="inlineStr">
        <is>
          <t>서울경제</t>
        </is>
      </c>
      <c r="E451" t="inlineStr">
        <is>
          <t>김혜린</t>
        </is>
      </c>
      <c r="F451" t="inlineStr">
        <is>
          <t>정상회담 마친 文, 내일 조지아로···SK 배터리 공장 방문</t>
        </is>
      </c>
      <c r="G451" s="2">
        <f>HYPERLINK("https://www.sedaily.com/NewsView/22MGJS1XYM", "Go to Website")</f>
        <v/>
      </c>
      <c r="H451" t="inlineStr"/>
      <c r="I451" t="inlineStr">
        <is>
          <t>P85</t>
        </is>
      </c>
      <c r="J451" s="3" t="n">
        <v>0.66</v>
      </c>
      <c r="K451" t="inlineStr">
        <is>
          <t>교육 서비스업</t>
        </is>
      </c>
      <c r="L451" t="inlineStr">
        <is>
          <t>0</t>
        </is>
      </c>
      <c r="M451" s="3" t="n">
        <v>0.9399999999999999</v>
      </c>
      <c r="N451" t="inlineStr">
        <is>
          <t>중립</t>
        </is>
      </c>
    </row>
    <row r="452">
      <c r="A452" s="1" t="inlineStr">
        <is>
          <t>2021-05-22</t>
        </is>
      </c>
      <c r="B452" t="inlineStr">
        <is>
          <t>news</t>
        </is>
      </c>
      <c r="C452" t="inlineStr">
        <is>
          <t>economy</t>
        </is>
      </c>
      <c r="D452" t="inlineStr">
        <is>
          <t>뉴스1</t>
        </is>
      </c>
      <c r="E452" t="inlineStr">
        <is>
          <t>문창석</t>
        </is>
      </c>
      <c r="F452" t="inlineStr">
        <is>
          <t>K-배터리 연이은 미국 진출…바이든 지원에 사업 확장 본격화</t>
        </is>
      </c>
      <c r="G452" s="2">
        <f>HYPERLINK("https://www.news1.kr/articles/?4314376", "Go to Website")</f>
        <v/>
      </c>
      <c r="H452" t="inlineStr"/>
      <c r="I452" t="inlineStr">
        <is>
          <t>F41</t>
        </is>
      </c>
      <c r="J452" s="3" t="n">
        <v>0.451</v>
      </c>
      <c r="K452" t="inlineStr">
        <is>
          <t>종합 건설업</t>
        </is>
      </c>
      <c r="L452" t="inlineStr"/>
      <c r="M452" t="inlineStr"/>
      <c r="N452" t="inlineStr"/>
    </row>
    <row r="453">
      <c r="A453" s="1" t="inlineStr">
        <is>
          <t>2021-05-22</t>
        </is>
      </c>
      <c r="B453" t="inlineStr">
        <is>
          <t>news</t>
        </is>
      </c>
      <c r="C453" t="inlineStr">
        <is>
          <t>economy</t>
        </is>
      </c>
      <c r="D453" t="inlineStr">
        <is>
          <t>한국경제TV</t>
        </is>
      </c>
      <c r="E453" t="inlineStr">
        <is>
          <t>송민화</t>
        </is>
      </c>
      <c r="F453" t="inlineStr">
        <is>
          <t>"전기차-배터리 동맹"…문 대통령, 22일 SK조지아 공장 방문 [한미정상회담]</t>
        </is>
      </c>
      <c r="G453" s="2">
        <f>HYPERLINK("http://www.wowtv.co.kr/NewsCenter/News/Read?articleId=A202105220045&amp;t=NN", "Go to Website")</f>
        <v/>
      </c>
      <c r="H453" t="inlineStr"/>
      <c r="I453" t="inlineStr">
        <is>
          <t>K64</t>
        </is>
      </c>
      <c r="J453" s="3" t="n">
        <v>0.895</v>
      </c>
      <c r="K453" t="inlineStr">
        <is>
          <t>금융업</t>
        </is>
      </c>
      <c r="L453" t="inlineStr">
        <is>
          <t>0</t>
        </is>
      </c>
      <c r="M453" s="3" t="n">
        <v>0.526</v>
      </c>
      <c r="N453" t="inlineStr">
        <is>
          <t>중립</t>
        </is>
      </c>
    </row>
    <row r="454">
      <c r="A454" s="1" t="inlineStr">
        <is>
          <t>2021-05-22</t>
        </is>
      </c>
      <c r="B454" t="inlineStr">
        <is>
          <t>news</t>
        </is>
      </c>
      <c r="C454" t="inlineStr">
        <is>
          <t>economy</t>
        </is>
      </c>
      <c r="D454" t="inlineStr">
        <is>
          <t>비즈니스워치</t>
        </is>
      </c>
      <c r="E454" t="inlineStr"/>
      <c r="F454" t="inlineStr">
        <is>
          <t>'지금은 ETF 전성시대'…순자산 60조원도 뚫었다</t>
        </is>
      </c>
      <c r="G454" s="2">
        <f>HYPERLINK("http://news.bizwatch.co.kr/article/market/2021/05/21/0039", "Go to Website")</f>
        <v/>
      </c>
      <c r="H454" t="inlineStr"/>
      <c r="I454" t="inlineStr">
        <is>
          <t>K64</t>
        </is>
      </c>
      <c r="J454" s="3" t="n">
        <v>0.286</v>
      </c>
      <c r="K454" t="inlineStr">
        <is>
          <t>금융업</t>
        </is>
      </c>
      <c r="L454" t="inlineStr"/>
      <c r="M454" t="inlineStr"/>
      <c r="N454" t="inlineStr"/>
    </row>
    <row r="455">
      <c r="A455" s="1" t="inlineStr">
        <is>
          <t>2021-05-22</t>
        </is>
      </c>
      <c r="B455" t="inlineStr">
        <is>
          <t>news</t>
        </is>
      </c>
      <c r="C455" t="inlineStr">
        <is>
          <t>economy</t>
        </is>
      </c>
      <c r="D455" t="inlineStr">
        <is>
          <t>한국경제TV</t>
        </is>
      </c>
      <c r="E455" t="inlineStr">
        <is>
          <t>임원식</t>
        </is>
      </c>
      <c r="F455" t="inlineStr">
        <is>
          <t>한미, 반도체·배터리 '인력양성·R&amp;D·표준화' 협력 [한미정상회담]</t>
        </is>
      </c>
      <c r="G455" s="2">
        <f>HYPERLINK("http://www.wowtv.co.kr/NewsCenter/News/Read?articleId=A202105220044&amp;t=NN", "Go to Website")</f>
        <v/>
      </c>
      <c r="H455" t="inlineStr"/>
      <c r="I455" t="inlineStr">
        <is>
          <t>C29</t>
        </is>
      </c>
      <c r="J455" s="3" t="n">
        <v>0.82</v>
      </c>
      <c r="K455" t="inlineStr">
        <is>
          <t>기타 기계 및 장비 제조업</t>
        </is>
      </c>
      <c r="L455" t="inlineStr"/>
      <c r="M455" t="inlineStr"/>
      <c r="N455" t="inlineStr"/>
    </row>
    <row r="456">
      <c r="A456" s="1" t="inlineStr">
        <is>
          <t>2021-05-22</t>
        </is>
      </c>
      <c r="B456" t="inlineStr">
        <is>
          <t>news</t>
        </is>
      </c>
      <c r="C456" t="inlineStr">
        <is>
          <t>economy</t>
        </is>
      </c>
      <c r="D456" t="inlineStr">
        <is>
          <t>한국일보</t>
        </is>
      </c>
      <c r="E456" t="inlineStr">
        <is>
          <t>김하은</t>
        </is>
      </c>
      <c r="F456" t="inlineStr">
        <is>
          <t>말레, 희토류·자석에 구애 받지 않는 ‘고효율 전기 모터’ 개발</t>
        </is>
      </c>
      <c r="G456" s="2">
        <f>HYPERLINK("https://hankookilbo.com/News/Read/A2021052211170005339?did=NA", "Go to Website")</f>
        <v/>
      </c>
      <c r="H456" t="inlineStr"/>
      <c r="I456" t="inlineStr">
        <is>
          <t>C28</t>
        </is>
      </c>
      <c r="J456" s="3" t="n">
        <v>0.991</v>
      </c>
      <c r="K456" t="inlineStr">
        <is>
          <t>전기장비 제조업</t>
        </is>
      </c>
      <c r="L456" t="inlineStr"/>
      <c r="M456" t="inlineStr"/>
      <c r="N456" t="inlineStr"/>
    </row>
    <row r="457">
      <c r="A457" s="1" t="inlineStr">
        <is>
          <t>2021-05-22</t>
        </is>
      </c>
      <c r="B457" t="inlineStr">
        <is>
          <t>news</t>
        </is>
      </c>
      <c r="C457" t="inlineStr">
        <is>
          <t>economy</t>
        </is>
      </c>
      <c r="D457" t="inlineStr">
        <is>
          <t>한겨레</t>
        </is>
      </c>
      <c r="E457" t="inlineStr">
        <is>
          <t>선담은</t>
        </is>
      </c>
      <c r="F457" t="inlineStr">
        <is>
          <t>바이든, “한국 기업 대표들 일어나달라”…44조원 대미 투자에 ‘반색’</t>
        </is>
      </c>
      <c r="G457" s="2">
        <f>HYPERLINK("http://www.hani.co.kr/arti/economy/marketing/996222.html", "Go to Website")</f>
        <v/>
      </c>
      <c r="H457" t="inlineStr"/>
      <c r="I457" t="inlineStr">
        <is>
          <t>100</t>
        </is>
      </c>
      <c r="J457" s="3" t="n">
        <v>0.996</v>
      </c>
      <c r="K457" t="inlineStr">
        <is>
          <t>분류 제외, 기타</t>
        </is>
      </c>
      <c r="L457" t="inlineStr"/>
      <c r="M457" t="inlineStr"/>
      <c r="N457" t="inlineStr"/>
    </row>
    <row r="458">
      <c r="A458" s="1" t="inlineStr">
        <is>
          <t>2021-05-22</t>
        </is>
      </c>
      <c r="B458" t="inlineStr">
        <is>
          <t>news</t>
        </is>
      </c>
      <c r="C458" t="inlineStr">
        <is>
          <t>economy</t>
        </is>
      </c>
      <c r="D458" t="inlineStr">
        <is>
          <t>SBS Biz</t>
        </is>
      </c>
      <c r="E458" t="inlineStr">
        <is>
          <t>정윤형</t>
        </is>
      </c>
      <c r="F458" t="inlineStr">
        <is>
          <t>미국 이어 중국도 규제 나서자…주요 가상화폐 10% 이상 하락</t>
        </is>
      </c>
      <c r="G458" s="2">
        <f>HYPERLINK("https://biz.sbs.co.kr/article_hub/20000016378", "Go to Website")</f>
        <v/>
      </c>
      <c r="H458" t="inlineStr"/>
      <c r="I458" t="inlineStr">
        <is>
          <t>C26</t>
        </is>
      </c>
      <c r="J458" s="3" t="n">
        <v>0.371</v>
      </c>
      <c r="K458" t="inlineStr">
        <is>
          <t>전자 부품, 컴퓨터, 영상, 음향 및 통신장비 제조업</t>
        </is>
      </c>
      <c r="L458" t="inlineStr"/>
      <c r="M458" t="inlineStr"/>
      <c r="N458" t="inlineStr"/>
    </row>
    <row r="459">
      <c r="A459" s="1" t="inlineStr">
        <is>
          <t>2021-05-22</t>
        </is>
      </c>
      <c r="B459" t="inlineStr">
        <is>
          <t>news</t>
        </is>
      </c>
      <c r="C459" t="inlineStr">
        <is>
          <t>tech</t>
        </is>
      </c>
      <c r="D459" t="inlineStr">
        <is>
          <t>디지털데일리</t>
        </is>
      </c>
      <c r="E459" t="inlineStr">
        <is>
          <t>윤상호</t>
        </is>
      </c>
      <c r="F459" t="inlineStr">
        <is>
          <t>문 대통령, “韓美 공급망 파트너”…반도체·배터리 45조원 美 투자</t>
        </is>
      </c>
      <c r="G459" s="2">
        <f>HYPERLINK("http://www.ddaily.co.kr/news/article.html?no=214686", "Go to Website")</f>
        <v/>
      </c>
      <c r="H459" t="inlineStr"/>
      <c r="I459" t="inlineStr"/>
      <c r="J459" t="inlineStr"/>
      <c r="K459" t="inlineStr"/>
      <c r="L459" t="inlineStr"/>
      <c r="M459" t="inlineStr"/>
      <c r="N459" t="inlineStr"/>
    </row>
    <row r="460">
      <c r="A460" s="1" t="inlineStr">
        <is>
          <t>2021-05-22</t>
        </is>
      </c>
      <c r="B460" t="inlineStr">
        <is>
          <t>news</t>
        </is>
      </c>
      <c r="C460" t="inlineStr">
        <is>
          <t>economy</t>
        </is>
      </c>
      <c r="D460" t="inlineStr">
        <is>
          <t>헤럴드경제</t>
        </is>
      </c>
      <c r="E460" t="inlineStr"/>
      <c r="F460" t="inlineStr">
        <is>
          <t>최태원 회장 일어서자 바이든 “땡큐, 땡큐, 땡큐”</t>
        </is>
      </c>
      <c r="G460" s="2">
        <f>HYPERLINK("http://news.heraldcorp.com/view.php?ud=20210522000116", "Go to Website")</f>
        <v/>
      </c>
      <c r="H460" t="inlineStr"/>
      <c r="I460" t="inlineStr">
        <is>
          <t>100</t>
        </is>
      </c>
      <c r="J460" s="3" t="n">
        <v>0.861</v>
      </c>
      <c r="K460" t="inlineStr">
        <is>
          <t>분류 제외, 기타</t>
        </is>
      </c>
      <c r="L460" t="inlineStr"/>
      <c r="M460" t="inlineStr"/>
      <c r="N460" t="inlineStr"/>
    </row>
    <row r="461">
      <c r="A461" s="1" t="inlineStr">
        <is>
          <t>2021-05-22</t>
        </is>
      </c>
      <c r="B461" t="inlineStr">
        <is>
          <t>news</t>
        </is>
      </c>
      <c r="C461" t="inlineStr">
        <is>
          <t>economy</t>
        </is>
      </c>
      <c r="D461" t="inlineStr">
        <is>
          <t>아시아경제</t>
        </is>
      </c>
      <c r="E461" t="inlineStr">
        <is>
          <t>우수연</t>
        </is>
      </c>
      <c r="F461" t="inlineStr">
        <is>
          <t>"반도체 협력 강화" 선언한 韓美…글로벌 공급망 변화 방향은?</t>
        </is>
      </c>
      <c r="G461" s="2">
        <f>HYPERLINK("https://view.asiae.co.kr/article/2021052211250380053", "Go to Website")</f>
        <v/>
      </c>
      <c r="H461" t="inlineStr"/>
      <c r="I461" t="inlineStr">
        <is>
          <t>C27</t>
        </is>
      </c>
      <c r="J461" s="3" t="n">
        <v>0.479</v>
      </c>
      <c r="K461" t="inlineStr">
        <is>
          <t>의료, 정밀, 광학 기기 및 시계 제조업</t>
        </is>
      </c>
      <c r="L461" t="inlineStr"/>
      <c r="M461" t="inlineStr"/>
      <c r="N461" t="inlineStr"/>
    </row>
    <row r="462">
      <c r="A462" s="1" t="inlineStr">
        <is>
          <t>2021-05-22</t>
        </is>
      </c>
      <c r="B462" t="inlineStr">
        <is>
          <t>news</t>
        </is>
      </c>
      <c r="C462" t="inlineStr">
        <is>
          <t>economy</t>
        </is>
      </c>
      <c r="D462" t="inlineStr">
        <is>
          <t>파이낸셜뉴스</t>
        </is>
      </c>
      <c r="E462" t="inlineStr">
        <is>
          <t>임광복</t>
        </is>
      </c>
      <c r="F462" t="inlineStr">
        <is>
          <t>반도체·배터리·자동차·백신..."한국 제조·미국 혁신 협력"</t>
        </is>
      </c>
      <c r="G462" s="2">
        <f>HYPERLINK("http://www.fnnews.com/news/202105221100001038", "Go to Website")</f>
        <v/>
      </c>
      <c r="H462" t="inlineStr"/>
      <c r="I462" t="inlineStr">
        <is>
          <t>100</t>
        </is>
      </c>
      <c r="J462" s="3" t="n">
        <v>0.472</v>
      </c>
      <c r="K462" t="inlineStr">
        <is>
          <t>분류 제외, 기타</t>
        </is>
      </c>
      <c r="L462" t="inlineStr"/>
      <c r="M462" t="inlineStr"/>
      <c r="N462" t="inlineStr"/>
    </row>
    <row r="463">
      <c r="A463" s="1" t="inlineStr">
        <is>
          <t>2021-05-22</t>
        </is>
      </c>
      <c r="B463" t="inlineStr">
        <is>
          <t>news</t>
        </is>
      </c>
      <c r="C463" t="inlineStr">
        <is>
          <t>economy</t>
        </is>
      </c>
      <c r="D463" t="inlineStr">
        <is>
          <t>아시아경제</t>
        </is>
      </c>
      <c r="E463" t="inlineStr">
        <is>
          <t>김흥순</t>
        </is>
      </c>
      <c r="F463" t="inlineStr">
        <is>
          <t>'단일 최대규모' 투자 공언한 삼성…미국 행정부도 반색(상보)</t>
        </is>
      </c>
      <c r="G463" s="2">
        <f>HYPERLINK("https://view.asiae.co.kr/article/2021052211055966844", "Go to Website")</f>
        <v/>
      </c>
      <c r="H463" t="inlineStr"/>
      <c r="I463" t="inlineStr">
        <is>
          <t>100</t>
        </is>
      </c>
      <c r="J463" s="3" t="n">
        <v>0.389</v>
      </c>
      <c r="K463" t="inlineStr">
        <is>
          <t>분류 제외, 기타</t>
        </is>
      </c>
      <c r="L463" t="inlineStr"/>
      <c r="M463" t="inlineStr"/>
      <c r="N463" t="inlineStr"/>
    </row>
    <row r="464">
      <c r="A464" s="1" t="inlineStr">
        <is>
          <t>2021-05-22</t>
        </is>
      </c>
      <c r="B464" t="inlineStr">
        <is>
          <t>news</t>
        </is>
      </c>
      <c r="C464" t="inlineStr">
        <is>
          <t>economy</t>
        </is>
      </c>
      <c r="D464" t="inlineStr">
        <is>
          <t>헤럴드경제</t>
        </is>
      </c>
      <c r="E464" t="inlineStr">
        <is>
          <t>정찬수</t>
        </is>
      </c>
      <c r="F464" t="inlineStr">
        <is>
          <t>美 가성비 전기차 4위에 ‘코나 EV’…1위는? [TNA]</t>
        </is>
      </c>
      <c r="G464" s="2">
        <f>HYPERLINK("http://news.heraldcorp.com/view.php?ud=20210521000772", "Go to Website")</f>
        <v/>
      </c>
      <c r="H464" t="inlineStr"/>
      <c r="I464" t="inlineStr">
        <is>
          <t>C22</t>
        </is>
      </c>
      <c r="J464" s="3" t="n">
        <v>0.312</v>
      </c>
      <c r="K464" t="inlineStr">
        <is>
          <t>고무 및 플라스틱제품 제조업</t>
        </is>
      </c>
      <c r="L464" t="inlineStr"/>
      <c r="M464" t="inlineStr"/>
      <c r="N464" t="inlineStr"/>
    </row>
    <row r="465">
      <c r="A465" s="1" t="inlineStr">
        <is>
          <t>2021-05-22</t>
        </is>
      </c>
      <c r="B465" t="inlineStr">
        <is>
          <t>news</t>
        </is>
      </c>
      <c r="C465" t="inlineStr">
        <is>
          <t>economy</t>
        </is>
      </c>
      <c r="D465" t="inlineStr">
        <is>
          <t>매일경제</t>
        </is>
      </c>
      <c r="E465" t="inlineStr">
        <is>
          <t>노현</t>
        </is>
      </c>
      <c r="F465" t="inlineStr">
        <is>
          <t>"적극 도와달라" 韓 기업 요구에…美  "실망시키지 않겠다"</t>
        </is>
      </c>
      <c r="G465" s="2">
        <f>HYPERLINK("http://news.mk.co.kr/newsRead.php?no=493341&amp;year=2021", "Go to Website")</f>
        <v/>
      </c>
      <c r="H465" t="inlineStr"/>
      <c r="I465" t="inlineStr">
        <is>
          <t>K64</t>
        </is>
      </c>
      <c r="J465" s="3" t="n">
        <v>0.474</v>
      </c>
      <c r="K465" t="inlineStr">
        <is>
          <t>금융업</t>
        </is>
      </c>
      <c r="L465" t="inlineStr"/>
      <c r="M465" t="inlineStr"/>
      <c r="N465" t="inlineStr"/>
    </row>
    <row r="466">
      <c r="A466" s="1" t="inlineStr">
        <is>
          <t>2021-05-22</t>
        </is>
      </c>
      <c r="B466" t="inlineStr">
        <is>
          <t>news</t>
        </is>
      </c>
      <c r="C466" t="inlineStr">
        <is>
          <t>economy</t>
        </is>
      </c>
      <c r="D466" t="inlineStr">
        <is>
          <t>머니S</t>
        </is>
      </c>
      <c r="E466" t="inlineStr">
        <is>
          <t>이상훈</t>
        </is>
      </c>
      <c r="F466" t="inlineStr">
        <is>
          <t>삼성·LG 등 한국기업 미국에 44조원 투자… 바이든 "고용창출 기대"</t>
        </is>
      </c>
      <c r="G466" s="2">
        <f>HYPERLINK("http://moneys.mt.co.kr/news/mwView.php?no=2021052210488056280", "Go to Website")</f>
        <v/>
      </c>
      <c r="H466" t="inlineStr"/>
      <c r="I466" t="inlineStr">
        <is>
          <t>C29</t>
        </is>
      </c>
      <c r="J466" s="3" t="n">
        <v>0.377</v>
      </c>
      <c r="K466" t="inlineStr">
        <is>
          <t>기타 기계 및 장비 제조업</t>
        </is>
      </c>
      <c r="L466" t="inlineStr"/>
      <c r="M466" t="inlineStr"/>
      <c r="N466" t="inlineStr"/>
    </row>
    <row r="467">
      <c r="A467" s="1" t="inlineStr">
        <is>
          <t>2021-05-22</t>
        </is>
      </c>
      <c r="B467" t="inlineStr">
        <is>
          <t>news</t>
        </is>
      </c>
      <c r="C467" t="inlineStr">
        <is>
          <t>economy</t>
        </is>
      </c>
      <c r="D467" t="inlineStr">
        <is>
          <t>아이뉴스24</t>
        </is>
      </c>
      <c r="E467" t="inlineStr">
        <is>
          <t>정종오</t>
        </is>
      </c>
      <c r="F467" t="inlineStr">
        <is>
          <t>한·미, 반도체·배터리·자동차·백신 분야 협력 강화한다</t>
        </is>
      </c>
      <c r="G467" s="2">
        <f>HYPERLINK("http://www.inews24.com/view/1369182", "Go to Website")</f>
        <v/>
      </c>
      <c r="H467" t="inlineStr"/>
      <c r="I467" t="inlineStr">
        <is>
          <t>100</t>
        </is>
      </c>
      <c r="J467" s="3" t="n">
        <v>0.993</v>
      </c>
      <c r="K467" t="inlineStr">
        <is>
          <t>분류 제외, 기타</t>
        </is>
      </c>
      <c r="L467" t="inlineStr"/>
      <c r="M467" t="inlineStr"/>
      <c r="N467" t="inlineStr"/>
    </row>
    <row r="468">
      <c r="A468" s="1" t="inlineStr">
        <is>
          <t>2021-05-22</t>
        </is>
      </c>
      <c r="B468" t="inlineStr">
        <is>
          <t>news</t>
        </is>
      </c>
      <c r="C468" t="inlineStr">
        <is>
          <t>economy</t>
        </is>
      </c>
      <c r="D468" t="inlineStr">
        <is>
          <t>한국경제</t>
        </is>
      </c>
      <c r="E468" t="inlineStr">
        <is>
          <t>주용석</t>
        </is>
      </c>
      <c r="F468" t="inlineStr">
        <is>
          <t>"삼성·현대·SK·LG 대표 일어나 주세요"…'생큐' 연발한 바이든</t>
        </is>
      </c>
      <c r="G468" s="2">
        <f>HYPERLINK("https://www.hankyung.com/economy/article/202105227930i", "Go to Website")</f>
        <v/>
      </c>
      <c r="H468" t="inlineStr"/>
      <c r="I468" t="inlineStr">
        <is>
          <t>C17</t>
        </is>
      </c>
      <c r="J468" s="3" t="n">
        <v>0.999</v>
      </c>
      <c r="K468" t="inlineStr">
        <is>
          <t>펄프, 종이 및 종이제품 제조업</t>
        </is>
      </c>
      <c r="L468" t="inlineStr"/>
      <c r="M468" t="inlineStr"/>
      <c r="N468" t="inlineStr"/>
    </row>
    <row r="469">
      <c r="A469" s="1" t="inlineStr">
        <is>
          <t>2021-05-22</t>
        </is>
      </c>
      <c r="B469" t="inlineStr">
        <is>
          <t>news</t>
        </is>
      </c>
      <c r="C469" t="inlineStr">
        <is>
          <t>economy</t>
        </is>
      </c>
      <c r="D469" t="inlineStr">
        <is>
          <t>뉴스1</t>
        </is>
      </c>
      <c r="E469" t="inlineStr">
        <is>
          <t>류정민</t>
        </is>
      </c>
      <c r="F469" t="inlineStr">
        <is>
          <t>한미 정상 반도체·배터리 협력 강조…44조 규모 대미투자도 탄력</t>
        </is>
      </c>
      <c r="G469" s="2">
        <f>HYPERLINK("https://www.news1.kr/articles/?4314283", "Go to Website")</f>
        <v/>
      </c>
      <c r="H469" t="inlineStr"/>
      <c r="I469" t="inlineStr">
        <is>
          <t>100</t>
        </is>
      </c>
      <c r="J469" s="3" t="n">
        <v>0.903</v>
      </c>
      <c r="K469" t="inlineStr">
        <is>
          <t>분류 제외, 기타</t>
        </is>
      </c>
      <c r="L469" t="inlineStr"/>
      <c r="M469" t="inlineStr"/>
      <c r="N469" t="inlineStr"/>
    </row>
    <row r="470">
      <c r="A470" s="1" t="inlineStr">
        <is>
          <t>2021-05-22</t>
        </is>
      </c>
      <c r="B470" t="inlineStr">
        <is>
          <t>news</t>
        </is>
      </c>
      <c r="C470" t="inlineStr">
        <is>
          <t>tech</t>
        </is>
      </c>
      <c r="D470" t="inlineStr">
        <is>
          <t>한국일보</t>
        </is>
      </c>
      <c r="E470" t="inlineStr">
        <is>
          <t>김동욱</t>
        </is>
      </c>
      <c r="F470" t="inlineStr">
        <is>
          <t>바이든, 美 투자 단행한 韓기업인 일으켜 세우며 "땡큐" 연발</t>
        </is>
      </c>
      <c r="G470" s="2">
        <f>HYPERLINK("https://hankookilbo.com/News/Read/A2021052209440000903?did=NA", "Go to Website")</f>
        <v/>
      </c>
      <c r="H470" t="inlineStr"/>
      <c r="I470" t="inlineStr"/>
      <c r="J470" t="inlineStr"/>
      <c r="K470" t="inlineStr"/>
      <c r="L470" t="inlineStr"/>
      <c r="M470" t="inlineStr"/>
      <c r="N470" t="inlineStr"/>
    </row>
    <row r="471">
      <c r="A471" s="1" t="inlineStr">
        <is>
          <t>2021-05-22</t>
        </is>
      </c>
      <c r="B471" t="inlineStr">
        <is>
          <t>news</t>
        </is>
      </c>
      <c r="C471" t="inlineStr">
        <is>
          <t>economy</t>
        </is>
      </c>
      <c r="D471" t="inlineStr">
        <is>
          <t>뉴스1</t>
        </is>
      </c>
      <c r="E471" t="inlineStr">
        <is>
          <t>문창석</t>
        </is>
      </c>
      <c r="F471" t="inlineStr">
        <is>
          <t>'배터리 동맹' 선언한 韓·美 정상…중국 전기차 견제 나섰다</t>
        </is>
      </c>
      <c r="G471" s="2">
        <f>HYPERLINK("https://www.news1.kr/articles/?4314299", "Go to Website")</f>
        <v/>
      </c>
      <c r="H471" t="inlineStr"/>
      <c r="I471" t="inlineStr">
        <is>
          <t>C20</t>
        </is>
      </c>
      <c r="J471" s="3" t="n">
        <v>0.83</v>
      </c>
      <c r="K471" t="inlineStr">
        <is>
          <t>화학 물질 및 화학제품 제조업; 의약품 제외</t>
        </is>
      </c>
      <c r="L471" t="inlineStr">
        <is>
          <t>0</t>
        </is>
      </c>
      <c r="M471" s="3" t="n">
        <v>0.965</v>
      </c>
      <c r="N471" t="inlineStr">
        <is>
          <t>중립</t>
        </is>
      </c>
    </row>
    <row r="472">
      <c r="A472" s="1" t="inlineStr">
        <is>
          <t>2021-05-22</t>
        </is>
      </c>
      <c r="B472" t="inlineStr">
        <is>
          <t>news</t>
        </is>
      </c>
      <c r="C472" t="inlineStr">
        <is>
          <t>economy</t>
        </is>
      </c>
      <c r="D472" t="inlineStr">
        <is>
          <t>조세일보</t>
        </is>
      </c>
      <c r="E472" t="inlineStr"/>
      <c r="F472" t="inlineStr">
        <is>
          <t>국내 ETF 순자산총액 60조원 돌파…2002년 대비 174배</t>
        </is>
      </c>
      <c r="G472" s="2">
        <f>HYPERLINK("http://www.joseilbo.com/news/news_read.php?uid=424198&amp;class=53", "Go to Website")</f>
        <v/>
      </c>
      <c r="H472" t="inlineStr"/>
      <c r="I472" t="inlineStr">
        <is>
          <t>K64</t>
        </is>
      </c>
      <c r="J472" s="3" t="n">
        <v>0.746</v>
      </c>
      <c r="K472" t="inlineStr">
        <is>
          <t>금융업</t>
        </is>
      </c>
      <c r="L472" t="inlineStr"/>
      <c r="M472" t="inlineStr"/>
      <c r="N472" t="inlineStr"/>
    </row>
    <row r="473">
      <c r="A473" s="1" t="inlineStr">
        <is>
          <t>2021-05-22</t>
        </is>
      </c>
      <c r="B473" t="inlineStr">
        <is>
          <t>news</t>
        </is>
      </c>
      <c r="C473" t="inlineStr">
        <is>
          <t>economy</t>
        </is>
      </c>
      <c r="D473" t="inlineStr">
        <is>
          <t>매일경제</t>
        </is>
      </c>
      <c r="E473" t="inlineStr">
        <is>
          <t>노현</t>
        </is>
      </c>
      <c r="F473" t="inlineStr">
        <is>
          <t>韓 기업인 일으켜세운 바이든 "감사, 감사, 감사"</t>
        </is>
      </c>
      <c r="G473" s="2">
        <f>HYPERLINK("http://news.mk.co.kr/newsRead.php?no=493261&amp;year=2021", "Go to Website")</f>
        <v/>
      </c>
      <c r="H473" t="inlineStr"/>
      <c r="I473" t="inlineStr">
        <is>
          <t>C27</t>
        </is>
      </c>
      <c r="J473" s="3" t="n">
        <v>0.829</v>
      </c>
      <c r="K473" t="inlineStr">
        <is>
          <t>의료, 정밀, 광학 기기 및 시계 제조업</t>
        </is>
      </c>
      <c r="L473" t="inlineStr"/>
      <c r="M473" t="inlineStr"/>
      <c r="N473" t="inlineStr"/>
    </row>
    <row r="474">
      <c r="A474" s="1" t="inlineStr">
        <is>
          <t>2021-05-22</t>
        </is>
      </c>
      <c r="B474" t="inlineStr">
        <is>
          <t>news</t>
        </is>
      </c>
      <c r="C474" t="inlineStr">
        <is>
          <t>economy</t>
        </is>
      </c>
      <c r="D474" t="inlineStr">
        <is>
          <t>주간동아</t>
        </is>
      </c>
      <c r="E474" t="inlineStr">
        <is>
          <t>한여진</t>
        </is>
      </c>
      <c r="F474" t="inlineStr">
        <is>
          <t>109일간 도지코인 21번 트윗 머스크, 속내 들통났다</t>
        </is>
      </c>
      <c r="G474" s="2">
        <f>HYPERLINK("https://weekly.donga.com/3/all/11/2663221/1", "Go to Website")</f>
        <v/>
      </c>
      <c r="H474" t="inlineStr"/>
      <c r="I474" t="inlineStr">
        <is>
          <t>100</t>
        </is>
      </c>
      <c r="J474" s="3" t="n">
        <v>0.801</v>
      </c>
      <c r="K474" t="inlineStr">
        <is>
          <t>분류 제외, 기타</t>
        </is>
      </c>
      <c r="L474" t="inlineStr"/>
      <c r="M474" t="inlineStr"/>
      <c r="N474" t="inlineStr"/>
    </row>
    <row r="475">
      <c r="A475" s="1" t="inlineStr">
        <is>
          <t>2021-05-22</t>
        </is>
      </c>
      <c r="B475" t="inlineStr">
        <is>
          <t>news</t>
        </is>
      </c>
      <c r="C475" t="inlineStr">
        <is>
          <t>economy</t>
        </is>
      </c>
      <c r="D475" t="inlineStr">
        <is>
          <t>한국경제</t>
        </is>
      </c>
      <c r="E475" t="inlineStr">
        <is>
          <t>강현우</t>
        </is>
      </c>
      <c r="F475" t="inlineStr">
        <is>
          <t>방황하는 중국 전기차 신세력, 투자 시점은? [강현우의 차이나스톡]</t>
        </is>
      </c>
      <c r="G475" s="2">
        <f>HYPERLINK("https://www.hankyung.com/finance/article/202105215905i", "Go to Website")</f>
        <v/>
      </c>
      <c r="H475" t="inlineStr"/>
      <c r="I475" t="inlineStr">
        <is>
          <t>M71</t>
        </is>
      </c>
      <c r="J475" s="3" t="n">
        <v>0.445</v>
      </c>
      <c r="K475" t="inlineStr">
        <is>
          <t>전문 서비스업</t>
        </is>
      </c>
      <c r="L475" t="inlineStr"/>
      <c r="M475" t="inlineStr"/>
      <c r="N475" t="inlineStr"/>
    </row>
    <row r="476">
      <c r="A476" s="1" t="inlineStr">
        <is>
          <t>2021-05-22</t>
        </is>
      </c>
      <c r="B476" t="inlineStr">
        <is>
          <t>news</t>
        </is>
      </c>
      <c r="C476" t="inlineStr">
        <is>
          <t>economy</t>
        </is>
      </c>
      <c r="D476" t="inlineStr">
        <is>
          <t>뉴스1</t>
        </is>
      </c>
      <c r="E476" t="inlineStr">
        <is>
          <t>박혜연</t>
        </is>
      </c>
      <c r="F476" t="inlineStr">
        <is>
          <t>[전문]바이든 "삼성·SK·LG 투자 깊은 감사…잠깐 일어나 주실까요"</t>
        </is>
      </c>
      <c r="G476" s="2">
        <f>HYPERLINK("https://www.news1.kr/articles/?4314280", "Go to Website")</f>
        <v/>
      </c>
      <c r="H476" t="inlineStr"/>
      <c r="I476" t="inlineStr">
        <is>
          <t>C10</t>
        </is>
      </c>
      <c r="J476" s="3" t="n">
        <v>0.205</v>
      </c>
      <c r="K476" t="inlineStr">
        <is>
          <t>식료품 제조업</t>
        </is>
      </c>
      <c r="L476" t="inlineStr">
        <is>
          <t>0</t>
        </is>
      </c>
      <c r="M476" s="3" t="n">
        <v>0.724</v>
      </c>
      <c r="N476" t="inlineStr">
        <is>
          <t>중립</t>
        </is>
      </c>
    </row>
    <row r="477">
      <c r="A477" s="1" t="inlineStr">
        <is>
          <t>2021-05-22</t>
        </is>
      </c>
      <c r="B477" t="inlineStr">
        <is>
          <t>news</t>
        </is>
      </c>
      <c r="C477" t="inlineStr">
        <is>
          <t>economy</t>
        </is>
      </c>
      <c r="D477" t="inlineStr">
        <is>
          <t>이데일리</t>
        </is>
      </c>
      <c r="E477" t="inlineStr">
        <is>
          <t>박정수</t>
        </is>
      </c>
      <c r="F477" t="inlineStr">
        <is>
          <t>[주목!e해외주식]악재에 둘러싸인 테슬라…추세 하락 시작되나</t>
        </is>
      </c>
      <c r="G477" s="2">
        <f>HYPERLINK("http://www.edaily.co.kr/news/newspath.asp?newsid=01489126629051544", "Go to Website")</f>
        <v/>
      </c>
      <c r="H477" t="inlineStr"/>
      <c r="I477" t="inlineStr">
        <is>
          <t>C26</t>
        </is>
      </c>
      <c r="J477" s="3" t="n">
        <v>0.945</v>
      </c>
      <c r="K477" t="inlineStr">
        <is>
          <t>전자 부품, 컴퓨터, 영상, 음향 및 통신장비 제조업</t>
        </is>
      </c>
      <c r="L477" t="inlineStr"/>
      <c r="M477" t="inlineStr"/>
      <c r="N477" t="inlineStr"/>
    </row>
    <row r="478">
      <c r="A478" s="1" t="inlineStr">
        <is>
          <t>2021-05-22</t>
        </is>
      </c>
      <c r="B478" t="inlineStr">
        <is>
          <t>news</t>
        </is>
      </c>
      <c r="C478" t="inlineStr">
        <is>
          <t>economy</t>
        </is>
      </c>
      <c r="D478" t="inlineStr">
        <is>
          <t>중앙일보</t>
        </is>
      </c>
      <c r="E478" t="inlineStr"/>
      <c r="F478" t="inlineStr">
        <is>
          <t>삼성이 美 19조 투자 신중한 이유 “반도체는 신도 몰라서?” [뉴스원샷]</t>
        </is>
      </c>
      <c r="G478" s="2">
        <f>HYPERLINK("https://news.joins.com/article/olink/23658625", "Go to Website")</f>
        <v/>
      </c>
      <c r="H478" t="inlineStr"/>
      <c r="I478" t="inlineStr">
        <is>
          <t>C26</t>
        </is>
      </c>
      <c r="J478" s="3" t="n">
        <v>0.998</v>
      </c>
      <c r="K478" t="inlineStr">
        <is>
          <t>전자 부품, 컴퓨터, 영상, 음향 및 통신장비 제조업</t>
        </is>
      </c>
      <c r="L478" t="inlineStr"/>
      <c r="M478" t="inlineStr"/>
      <c r="N478" t="inlineStr"/>
    </row>
    <row r="479">
      <c r="A479" s="1" t="inlineStr">
        <is>
          <t>2021-05-22</t>
        </is>
      </c>
      <c r="B479" t="inlineStr">
        <is>
          <t>news</t>
        </is>
      </c>
      <c r="C479" t="inlineStr">
        <is>
          <t>economy</t>
        </is>
      </c>
      <c r="D479" t="inlineStr">
        <is>
          <t>머니투데이</t>
        </is>
      </c>
      <c r="E479" t="inlineStr"/>
      <c r="F479" t="inlineStr">
        <is>
          <t>韓기업인들 일으켜세운 바이든, 미국 투자에 "고맙다"</t>
        </is>
      </c>
      <c r="G479" s="2">
        <f>HYPERLINK("http://news.mt.co.kr/mtview.php?no=2021052209020370518", "Go to Website")</f>
        <v/>
      </c>
      <c r="H479" t="inlineStr"/>
      <c r="I479" t="inlineStr">
        <is>
          <t>C29</t>
        </is>
      </c>
      <c r="J479" s="3" t="n">
        <v>0.397</v>
      </c>
      <c r="K479" t="inlineStr">
        <is>
          <t>기타 기계 및 장비 제조업</t>
        </is>
      </c>
      <c r="L479" t="inlineStr"/>
      <c r="M479" t="inlineStr"/>
      <c r="N479" t="inlineStr"/>
    </row>
    <row r="480">
      <c r="A480" s="1" t="inlineStr">
        <is>
          <t>2021-05-22</t>
        </is>
      </c>
      <c r="B480" t="inlineStr">
        <is>
          <t>news</t>
        </is>
      </c>
      <c r="C480" t="inlineStr">
        <is>
          <t>economy</t>
        </is>
      </c>
      <c r="D480" t="inlineStr">
        <is>
          <t>뉴시스</t>
        </is>
      </c>
      <c r="E480" t="inlineStr">
        <is>
          <t>옥승욱</t>
        </is>
      </c>
      <c r="F480" t="inlineStr">
        <is>
          <t>바이든, 美 44조 투자하는 삼성·LG·SK 등 지목하며 "땡큐, 땡큐"</t>
        </is>
      </c>
      <c r="G480" s="2">
        <f>HYPERLINK("http://www.newsis.com/view/?id=NISX20210522_0001449505&amp;cID=13001&amp;pID=13000", "Go to Website")</f>
        <v/>
      </c>
      <c r="H480" t="inlineStr"/>
      <c r="I480" t="inlineStr">
        <is>
          <t>100</t>
        </is>
      </c>
      <c r="J480" s="3" t="n">
        <v>0.652</v>
      </c>
      <c r="K480" t="inlineStr">
        <is>
          <t>분류 제외, 기타</t>
        </is>
      </c>
      <c r="L480" t="inlineStr"/>
      <c r="M480" t="inlineStr"/>
      <c r="N480" t="inlineStr"/>
    </row>
    <row r="481">
      <c r="A481" s="1" t="inlineStr">
        <is>
          <t>2021-05-22</t>
        </is>
      </c>
      <c r="B481" t="inlineStr">
        <is>
          <t>news</t>
        </is>
      </c>
      <c r="C481" t="inlineStr">
        <is>
          <t>economy</t>
        </is>
      </c>
      <c r="D481" t="inlineStr">
        <is>
          <t>MBN</t>
        </is>
      </c>
      <c r="E481" t="inlineStr"/>
      <c r="F481" t="inlineStr">
        <is>
          <t>비트코인, 10.8% 급락…미·중 당국 규제 강화에 '휘청'</t>
        </is>
      </c>
      <c r="G481" s="2">
        <f>HYPERLINK("http://mbn.mk.co.kr/pages/news/newsView.php?category=mbn00003&amp;news_seq_no=4508526", "Go to Website")</f>
        <v/>
      </c>
      <c r="H481" t="inlineStr"/>
      <c r="I481" t="inlineStr">
        <is>
          <t>100</t>
        </is>
      </c>
      <c r="J481" s="3" t="n">
        <v>0.8080000000000001</v>
      </c>
      <c r="K481" t="inlineStr">
        <is>
          <t>분류 제외, 기타</t>
        </is>
      </c>
      <c r="L481" t="inlineStr"/>
      <c r="M481" t="inlineStr"/>
      <c r="N481" t="inlineStr"/>
    </row>
    <row r="482">
      <c r="A482" s="1" t="inlineStr">
        <is>
          <t>2021-05-22</t>
        </is>
      </c>
      <c r="B482" t="inlineStr">
        <is>
          <t>news</t>
        </is>
      </c>
      <c r="C482" t="inlineStr">
        <is>
          <t>economy</t>
        </is>
      </c>
      <c r="D482" t="inlineStr">
        <is>
          <t>이데일리</t>
        </is>
      </c>
      <c r="E482" t="inlineStr">
        <is>
          <t>김윤지</t>
        </is>
      </c>
      <c r="F482" t="inlineStr">
        <is>
          <t>[이번주 ETF] 탄소제로 시대에 대응하려면…‘KRBN’</t>
        </is>
      </c>
      <c r="G482" s="2">
        <f>HYPERLINK("http://www.edaily.co.kr/news/newspath.asp?newsid=01426806629051544", "Go to Website")</f>
        <v/>
      </c>
      <c r="H482" t="inlineStr"/>
      <c r="I482" t="inlineStr">
        <is>
          <t>K64</t>
        </is>
      </c>
      <c r="J482" s="3" t="n">
        <v>0.9360000000000001</v>
      </c>
      <c r="K482" t="inlineStr">
        <is>
          <t>금융업</t>
        </is>
      </c>
      <c r="L482" t="inlineStr"/>
      <c r="M482" t="inlineStr"/>
      <c r="N482" t="inlineStr"/>
    </row>
    <row r="483">
      <c r="A483" s="1" t="inlineStr">
        <is>
          <t>2021-05-22</t>
        </is>
      </c>
      <c r="B483" t="inlineStr">
        <is>
          <t>news</t>
        </is>
      </c>
      <c r="C483" t="inlineStr">
        <is>
          <t>economy</t>
        </is>
      </c>
      <c r="D483" t="inlineStr">
        <is>
          <t>비즈니스워치</t>
        </is>
      </c>
      <c r="E483" t="inlineStr"/>
      <c r="F483" t="inlineStr">
        <is>
          <t>1초에 9경5700조번 연산해 학습하는 AI</t>
        </is>
      </c>
      <c r="G483" s="2">
        <f>HYPERLINK("http://news.bizwatch.co.kr/article/industry/2021/05/21/0020", "Go to Website")</f>
        <v/>
      </c>
      <c r="H483" t="inlineStr"/>
      <c r="I483" t="inlineStr">
        <is>
          <t>K64</t>
        </is>
      </c>
      <c r="J483" s="3" t="n">
        <v>0.823</v>
      </c>
      <c r="K483" t="inlineStr">
        <is>
          <t>금융업</t>
        </is>
      </c>
      <c r="L483" t="inlineStr"/>
      <c r="M483" t="inlineStr"/>
      <c r="N483" t="inlineStr"/>
    </row>
    <row r="484">
      <c r="A484" s="1" t="inlineStr">
        <is>
          <t>2021-05-22</t>
        </is>
      </c>
      <c r="B484" t="inlineStr">
        <is>
          <t>news</t>
        </is>
      </c>
      <c r="C484" t="inlineStr">
        <is>
          <t>economy</t>
        </is>
      </c>
      <c r="D484" t="inlineStr">
        <is>
          <t>SBS</t>
        </is>
      </c>
      <c r="E484" t="inlineStr">
        <is>
          <t>김정우</t>
        </is>
      </c>
      <c r="F484" t="inlineStr">
        <is>
          <t>미국 투자 확대하는 4대 그룹…반도체 · 전기차 글로벌 지위 강화</t>
        </is>
      </c>
      <c r="G484" s="2">
        <f>HYPERLINK("https://news.sbs.co.kr/news/endPage.do?news_id=N1006327144", "Go to Website")</f>
        <v/>
      </c>
      <c r="H484" t="inlineStr"/>
      <c r="I484" t="inlineStr">
        <is>
          <t>C26</t>
        </is>
      </c>
      <c r="J484" s="3" t="n">
        <v>0.914</v>
      </c>
      <c r="K484" t="inlineStr">
        <is>
          <t>전자 부품, 컴퓨터, 영상, 음향 및 통신장비 제조업</t>
        </is>
      </c>
      <c r="L484" t="inlineStr"/>
      <c r="M484" t="inlineStr"/>
      <c r="N484" t="inlineStr"/>
    </row>
    <row r="485">
      <c r="A485" s="1" t="inlineStr">
        <is>
          <t>2021-05-22</t>
        </is>
      </c>
      <c r="B485" t="inlineStr">
        <is>
          <t>news</t>
        </is>
      </c>
      <c r="C485" t="inlineStr">
        <is>
          <t>economy</t>
        </is>
      </c>
      <c r="D485" t="inlineStr">
        <is>
          <t>머니S</t>
        </is>
      </c>
      <c r="E485" t="inlineStr">
        <is>
          <t>강한빛</t>
        </is>
      </c>
      <c r="F485" t="inlineStr">
        <is>
          <t>테슬라 목표주가 700달러로 22%↓… "자금조달 능력에 의구심"</t>
        </is>
      </c>
      <c r="G485" s="2">
        <f>HYPERLINK("http://moneys.mt.co.kr/news/mwView.php?no=2021052209138049992", "Go to Website")</f>
        <v/>
      </c>
      <c r="H485" t="inlineStr"/>
      <c r="I485" t="inlineStr">
        <is>
          <t>C20</t>
        </is>
      </c>
      <c r="J485" s="3" t="n">
        <v>0.857</v>
      </c>
      <c r="K485" t="inlineStr">
        <is>
          <t>화학 물질 및 화학제품 제조업; 의약품 제외</t>
        </is>
      </c>
      <c r="L485" t="inlineStr"/>
      <c r="M485" t="inlineStr"/>
      <c r="N485" t="inlineStr"/>
    </row>
    <row r="486">
      <c r="A486" s="1" t="inlineStr">
        <is>
          <t>2021-05-22</t>
        </is>
      </c>
      <c r="B486" t="inlineStr">
        <is>
          <t>news</t>
        </is>
      </c>
      <c r="C486" t="inlineStr">
        <is>
          <t>economy</t>
        </is>
      </c>
      <c r="D486" t="inlineStr">
        <is>
          <t>헤럴드경제</t>
        </is>
      </c>
      <c r="E486" t="inlineStr"/>
      <c r="F486" t="inlineStr">
        <is>
          <t>“44조 보따리 절반이 삼성”…美도 ‘엄지 척’</t>
        </is>
      </c>
      <c r="G486" s="2">
        <f>HYPERLINK("http://news.heraldcorp.com/view.php?ud=20210522000080", "Go to Website")</f>
        <v/>
      </c>
      <c r="H486" t="inlineStr"/>
      <c r="I486" t="inlineStr">
        <is>
          <t>C26</t>
        </is>
      </c>
      <c r="J486" s="3" t="n">
        <v>0.348</v>
      </c>
      <c r="K486" t="inlineStr">
        <is>
          <t>전자 부품, 컴퓨터, 영상, 음향 및 통신장비 제조업</t>
        </is>
      </c>
      <c r="L486" t="inlineStr"/>
      <c r="M486" t="inlineStr"/>
      <c r="N486" t="inlineStr"/>
    </row>
    <row r="487">
      <c r="A487" s="1" t="inlineStr">
        <is>
          <t>2021-05-22</t>
        </is>
      </c>
      <c r="B487" t="inlineStr">
        <is>
          <t>news</t>
        </is>
      </c>
      <c r="C487" t="inlineStr">
        <is>
          <t>economy</t>
        </is>
      </c>
      <c r="D487" t="inlineStr">
        <is>
          <t>서울경제</t>
        </is>
      </c>
      <c r="E487" t="inlineStr">
        <is>
          <t>김동호</t>
        </is>
      </c>
      <c r="F487" t="inlineStr">
        <is>
          <t>화성 ‘향남역 한양수자인 디에스티지’, 18일 사이버 모델하우스 오픈</t>
        </is>
      </c>
      <c r="G487" s="2">
        <f>HYPERLINK("https://www.sedaily.com/NewsView/22MGJUHRLC", "Go to Website")</f>
        <v/>
      </c>
      <c r="H487" t="inlineStr"/>
      <c r="I487" t="inlineStr">
        <is>
          <t>F41</t>
        </is>
      </c>
      <c r="J487" s="3" t="n">
        <v>0.544</v>
      </c>
      <c r="K487" t="inlineStr">
        <is>
          <t>종합 건설업</t>
        </is>
      </c>
      <c r="L487" t="inlineStr">
        <is>
          <t>0</t>
        </is>
      </c>
      <c r="M487" s="3" t="n">
        <v>0.994</v>
      </c>
      <c r="N487" t="inlineStr">
        <is>
          <t>중립</t>
        </is>
      </c>
    </row>
    <row r="488">
      <c r="A488" s="1" t="inlineStr">
        <is>
          <t>2021-05-22</t>
        </is>
      </c>
      <c r="B488" t="inlineStr">
        <is>
          <t>news</t>
        </is>
      </c>
      <c r="C488" t="inlineStr">
        <is>
          <t>tech</t>
        </is>
      </c>
      <c r="D488" t="inlineStr">
        <is>
          <t>동아사이언스</t>
        </is>
      </c>
      <c r="E488" t="inlineStr"/>
      <c r="F488" t="inlineStr">
        <is>
          <t>[프리미엄 리포트] 자동차 기술로 기후위기 극복한다</t>
        </is>
      </c>
      <c r="G488" s="2">
        <f>HYPERLINK("http://www.dongascience.com/news/view/46695", "Go to Website")</f>
        <v/>
      </c>
      <c r="H488" t="inlineStr"/>
      <c r="I488" t="inlineStr"/>
      <c r="J488" t="inlineStr"/>
      <c r="K488" t="inlineStr"/>
      <c r="L488" t="inlineStr"/>
      <c r="M488" t="inlineStr"/>
      <c r="N488" t="inlineStr"/>
    </row>
    <row r="489">
      <c r="A489" s="1" t="inlineStr">
        <is>
          <t>2021-05-22</t>
        </is>
      </c>
      <c r="B489" t="inlineStr">
        <is>
          <t>news</t>
        </is>
      </c>
      <c r="C489" t="inlineStr">
        <is>
          <t>tech</t>
        </is>
      </c>
      <c r="D489" t="inlineStr">
        <is>
          <t>한국일보</t>
        </is>
      </c>
      <c r="E489" t="inlineStr">
        <is>
          <t>김동욱</t>
        </is>
      </c>
      <c r="F489" t="inlineStr">
        <is>
          <t>바이든 손짓에 20조원 '최대 해외투자'로 화답한 삼성전자</t>
        </is>
      </c>
      <c r="G489" s="2">
        <f>HYPERLINK("https://hankookilbo.com/News/Read/A2021052206460001995?did=NA", "Go to Website")</f>
        <v/>
      </c>
      <c r="H489" t="inlineStr"/>
      <c r="I489" t="inlineStr"/>
      <c r="J489" t="inlineStr"/>
      <c r="K489" t="inlineStr"/>
      <c r="L489" t="inlineStr"/>
      <c r="M489" t="inlineStr"/>
      <c r="N489" t="inlineStr"/>
    </row>
    <row r="490">
      <c r="A490" s="1" t="inlineStr">
        <is>
          <t>2021-05-22</t>
        </is>
      </c>
      <c r="B490" t="inlineStr">
        <is>
          <t>news</t>
        </is>
      </c>
      <c r="C490" t="inlineStr">
        <is>
          <t>economy</t>
        </is>
      </c>
      <c r="D490" t="inlineStr">
        <is>
          <t>한국경제TV</t>
        </is>
      </c>
      <c r="E490" t="inlineStr">
        <is>
          <t>신용훈</t>
        </is>
      </c>
      <c r="F490" t="inlineStr">
        <is>
          <t>4대그룹 미국에 44조원 투자...경제동맹 강화[한미정상회담]</t>
        </is>
      </c>
      <c r="G490" s="2">
        <f>HYPERLINK("http://www.wowtv.co.kr/NewsCenter/News/Read?articleId=A202105220024&amp;t=NN", "Go to Website")</f>
        <v/>
      </c>
      <c r="H490" t="inlineStr"/>
      <c r="I490" t="inlineStr">
        <is>
          <t>K64</t>
        </is>
      </c>
      <c r="J490" s="3" t="n">
        <v>0.901</v>
      </c>
      <c r="K490" t="inlineStr">
        <is>
          <t>금융업</t>
        </is>
      </c>
      <c r="L490" t="inlineStr"/>
      <c r="M490" t="inlineStr"/>
      <c r="N490" t="inlineStr"/>
    </row>
    <row r="491">
      <c r="A491" s="1" t="inlineStr">
        <is>
          <t>2021-05-22</t>
        </is>
      </c>
      <c r="B491" t="inlineStr">
        <is>
          <t>news</t>
        </is>
      </c>
      <c r="C491" t="inlineStr">
        <is>
          <t>economy</t>
        </is>
      </c>
      <c r="D491" t="inlineStr">
        <is>
          <t>한국경제TV</t>
        </is>
      </c>
      <c r="E491" t="inlineStr">
        <is>
          <t>지수희</t>
        </is>
      </c>
      <c r="F491" t="inlineStr">
        <is>
          <t>'44조 대미 투자' 반도체·배터리·바이오株 움직일까?</t>
        </is>
      </c>
      <c r="G491" s="2">
        <f>HYPERLINK("http://www.wowtv.co.kr/NewsCenter/News/Read?articleId=A202105220021&amp;t=NN", "Go to Website")</f>
        <v/>
      </c>
      <c r="H491" t="inlineStr"/>
      <c r="I491" t="inlineStr">
        <is>
          <t>C26</t>
        </is>
      </c>
      <c r="J491" s="3" t="n">
        <v>0.4</v>
      </c>
      <c r="K491" t="inlineStr">
        <is>
          <t>전자 부품, 컴퓨터, 영상, 음향 및 통신장비 제조업</t>
        </is>
      </c>
      <c r="L491" t="inlineStr"/>
      <c r="M491" t="inlineStr"/>
      <c r="N491" t="inlineStr"/>
    </row>
    <row r="492">
      <c r="A492" s="1" t="inlineStr">
        <is>
          <t>2021-05-22</t>
        </is>
      </c>
      <c r="B492" t="inlineStr">
        <is>
          <t>news</t>
        </is>
      </c>
      <c r="C492" t="inlineStr">
        <is>
          <t>tech</t>
        </is>
      </c>
      <c r="D492" t="inlineStr">
        <is>
          <t>ZDNet Korea</t>
        </is>
      </c>
      <c r="E492" t="inlineStr">
        <is>
          <t>김양균</t>
        </is>
      </c>
      <c r="F492" t="inlineStr">
        <is>
          <t>한미 백신파트너십 맺는다…美 기술 제공-韓 위탁생산</t>
        </is>
      </c>
      <c r="G492" s="2">
        <f>HYPERLINK("https://zdnet.co.kr/view/?no=20210522084212", "Go to Website")</f>
        <v/>
      </c>
      <c r="H492" t="inlineStr"/>
      <c r="I492" t="inlineStr"/>
      <c r="J492" t="inlineStr"/>
      <c r="K492" t="inlineStr"/>
      <c r="L492" t="inlineStr"/>
      <c r="M492" t="inlineStr"/>
      <c r="N492" t="inlineStr"/>
    </row>
    <row r="493">
      <c r="A493" s="1" t="inlineStr">
        <is>
          <t>2021-05-22</t>
        </is>
      </c>
      <c r="B493" t="inlineStr">
        <is>
          <t>news</t>
        </is>
      </c>
      <c r="C493" t="inlineStr">
        <is>
          <t>economy</t>
        </is>
      </c>
      <c r="D493" t="inlineStr">
        <is>
          <t>파이낸셜뉴스</t>
        </is>
      </c>
      <c r="E493" t="inlineStr">
        <is>
          <t>김경수</t>
        </is>
      </c>
      <c r="F493" t="inlineStr">
        <is>
          <t>바이든 "44조 美투자 한국기업에 감사"</t>
        </is>
      </c>
      <c r="G493" s="2">
        <f>HYPERLINK("http://www.fnnews.com/news/202105220820241292", "Go to Website")</f>
        <v/>
      </c>
      <c r="H493" t="inlineStr"/>
      <c r="I493" t="inlineStr">
        <is>
          <t>A03</t>
        </is>
      </c>
      <c r="J493" s="3" t="n">
        <v>0.494</v>
      </c>
      <c r="K493" t="inlineStr">
        <is>
          <t>어업</t>
        </is>
      </c>
      <c r="L493" t="inlineStr"/>
      <c r="M493" t="inlineStr"/>
      <c r="N493" t="inlineStr"/>
    </row>
    <row r="494">
      <c r="A494" s="1" t="inlineStr">
        <is>
          <t>2021-05-22</t>
        </is>
      </c>
      <c r="B494" t="inlineStr">
        <is>
          <t>news</t>
        </is>
      </c>
      <c r="C494" t="inlineStr">
        <is>
          <t>economy</t>
        </is>
      </c>
      <c r="D494" t="inlineStr">
        <is>
          <t>아시아경제</t>
        </is>
      </c>
      <c r="E494" t="inlineStr">
        <is>
          <t>주상돈</t>
        </is>
      </c>
      <c r="F494" t="inlineStr">
        <is>
          <t>삼성·현대차·LG·SK 등 美에 400억달러 투자…문승욱 "韓 기업에 세제혜택 등 인센티브" 당부</t>
        </is>
      </c>
      <c r="G494" s="2">
        <f>HYPERLINK("https://view.asiae.co.kr/article/2021052208160500985", "Go to Website")</f>
        <v/>
      </c>
      <c r="H494" t="inlineStr"/>
      <c r="I494" t="inlineStr">
        <is>
          <t>100</t>
        </is>
      </c>
      <c r="J494" s="3" t="n">
        <v>0.625</v>
      </c>
      <c r="K494" t="inlineStr">
        <is>
          <t>분류 제외, 기타</t>
        </is>
      </c>
      <c r="L494" t="inlineStr"/>
      <c r="M494" t="inlineStr"/>
      <c r="N494" t="inlineStr"/>
    </row>
    <row r="495">
      <c r="A495" s="1" t="inlineStr">
        <is>
          <t>2021-05-22</t>
        </is>
      </c>
      <c r="B495" t="inlineStr">
        <is>
          <t>news</t>
        </is>
      </c>
      <c r="C495" t="inlineStr">
        <is>
          <t>economy</t>
        </is>
      </c>
      <c r="D495" t="inlineStr">
        <is>
          <t>뉴스1</t>
        </is>
      </c>
      <c r="E495" t="inlineStr">
        <is>
          <t>박기락</t>
        </is>
      </c>
      <c r="F495" t="inlineStr">
        <is>
          <t>44조원 투자 푼 한미 정상회담…중국 대응 주목</t>
        </is>
      </c>
      <c r="G495" s="2">
        <f>HYPERLINK("https://www.news1.kr/articles/?4313918", "Go to Website")</f>
        <v/>
      </c>
      <c r="H495" t="inlineStr"/>
      <c r="I495" t="inlineStr">
        <is>
          <t>C24</t>
        </is>
      </c>
      <c r="J495" s="3" t="n">
        <v>0.401</v>
      </c>
      <c r="K495" t="inlineStr">
        <is>
          <t>1차 금속 제조업</t>
        </is>
      </c>
      <c r="L495" t="inlineStr"/>
      <c r="M495" t="inlineStr"/>
      <c r="N495" t="inlineStr"/>
    </row>
    <row r="496">
      <c r="A496" s="1" t="inlineStr">
        <is>
          <t>2021-05-22</t>
        </is>
      </c>
      <c r="B496" t="inlineStr">
        <is>
          <t>news</t>
        </is>
      </c>
      <c r="C496" t="inlineStr">
        <is>
          <t>economy</t>
        </is>
      </c>
      <c r="D496" t="inlineStr">
        <is>
          <t>머니투데이</t>
        </is>
      </c>
      <c r="E496" t="inlineStr">
        <is>
          <t>주명호</t>
        </is>
      </c>
      <c r="F496" t="inlineStr">
        <is>
          <t>"주행거리가…" 쌍용차, 첫 전기차 출시 두고 '속앓이'</t>
        </is>
      </c>
      <c r="G496" s="2">
        <f>HYPERLINK("http://news.mt.co.kr/mtview.php?no=2021052116270096901", "Go to Website")</f>
        <v/>
      </c>
      <c r="H496" t="inlineStr"/>
      <c r="I496" t="inlineStr">
        <is>
          <t>C30</t>
        </is>
      </c>
      <c r="J496" s="3" t="n">
        <v>0.992</v>
      </c>
      <c r="K496" t="inlineStr">
        <is>
          <t>자동차 및 트레일러 제조업</t>
        </is>
      </c>
      <c r="L496" t="inlineStr">
        <is>
          <t>1</t>
        </is>
      </c>
      <c r="M496" s="3" t="n">
        <v>0.98</v>
      </c>
      <c r="N496" t="inlineStr">
        <is>
          <t>긍정</t>
        </is>
      </c>
    </row>
    <row r="497">
      <c r="A497" s="1" t="inlineStr">
        <is>
          <t>2021-05-22</t>
        </is>
      </c>
      <c r="B497" t="inlineStr">
        <is>
          <t>news</t>
        </is>
      </c>
      <c r="C497" t="inlineStr">
        <is>
          <t>economy</t>
        </is>
      </c>
      <c r="D497" t="inlineStr">
        <is>
          <t>이데일리</t>
        </is>
      </c>
      <c r="E497" t="inlineStr">
        <is>
          <t>김상윤</t>
        </is>
      </c>
      <c r="F497" t="inlineStr">
        <is>
          <t>산업장관 “우리 기업에 세제 인센티브 지원 부탁”…美에 요청</t>
        </is>
      </c>
      <c r="G497" s="2">
        <f>HYPERLINK("http://www.edaily.co.kr/news/newspath.asp?newsid=01312006629051544", "Go to Website")</f>
        <v/>
      </c>
      <c r="H497" t="inlineStr"/>
      <c r="I497" t="inlineStr">
        <is>
          <t>100</t>
        </is>
      </c>
      <c r="J497" s="3" t="n">
        <v>1</v>
      </c>
      <c r="K497" t="inlineStr">
        <is>
          <t>분류 제외, 기타</t>
        </is>
      </c>
      <c r="L497" t="inlineStr"/>
      <c r="M497" t="inlineStr"/>
      <c r="N497" t="inlineStr"/>
    </row>
    <row r="498">
      <c r="A498" s="1" t="inlineStr">
        <is>
          <t>2021-05-22</t>
        </is>
      </c>
      <c r="B498" t="inlineStr">
        <is>
          <t>news</t>
        </is>
      </c>
      <c r="C498" t="inlineStr">
        <is>
          <t>economy</t>
        </is>
      </c>
      <c r="D498" t="inlineStr">
        <is>
          <t>한국경제TV</t>
        </is>
      </c>
      <c r="E498" t="inlineStr">
        <is>
          <t>장진아</t>
        </is>
      </c>
      <c r="F498" t="inlineStr">
        <is>
          <t>전기차도 '하차감'…테슬라 따라잡은 포르쉐·벤츠</t>
        </is>
      </c>
      <c r="G498" s="2">
        <f>HYPERLINK("http://www.wowtv.co.kr/NewsCenter/News/Read?articleId=A202105220012&amp;t=NN", "Go to Website")</f>
        <v/>
      </c>
      <c r="H498" t="inlineStr"/>
      <c r="I498" t="inlineStr">
        <is>
          <t>C30</t>
        </is>
      </c>
      <c r="J498" s="3" t="n">
        <v>0.407</v>
      </c>
      <c r="K498" t="inlineStr">
        <is>
          <t>자동차 및 트레일러 제조업</t>
        </is>
      </c>
      <c r="L498" t="inlineStr"/>
      <c r="M498" t="inlineStr"/>
      <c r="N498" t="inlineStr"/>
    </row>
    <row r="499">
      <c r="A499" s="1" t="inlineStr">
        <is>
          <t>2021-05-22</t>
        </is>
      </c>
      <c r="B499" t="inlineStr">
        <is>
          <t>news</t>
        </is>
      </c>
      <c r="C499" t="inlineStr">
        <is>
          <t>economy</t>
        </is>
      </c>
      <c r="D499" t="inlineStr">
        <is>
          <t>연합뉴스</t>
        </is>
      </c>
      <c r="E499" t="inlineStr">
        <is>
          <t>김윤구</t>
        </is>
      </c>
      <c r="F499" t="inlineStr">
        <is>
          <t>[특파원 시선] 中 한 쇼핑몰에 전기차 매장만 3곳…판이 바뀌었다</t>
        </is>
      </c>
      <c r="G499" s="2">
        <f>HYPERLINK("http://yna.kr/AKR20210521099300083?did=1195m", "Go to Website")</f>
        <v/>
      </c>
      <c r="H499" t="inlineStr"/>
      <c r="I499" t="inlineStr">
        <is>
          <t>C28</t>
        </is>
      </c>
      <c r="J499" s="3" t="n">
        <v>0.952</v>
      </c>
      <c r="K499" t="inlineStr">
        <is>
          <t>전기장비 제조업</t>
        </is>
      </c>
      <c r="L499" t="inlineStr">
        <is>
          <t>0</t>
        </is>
      </c>
      <c r="M499" s="3" t="n">
        <v>0.99</v>
      </c>
      <c r="N499" t="inlineStr">
        <is>
          <t>중립</t>
        </is>
      </c>
    </row>
    <row r="500">
      <c r="A500" s="1" t="inlineStr">
        <is>
          <t>2021-05-22</t>
        </is>
      </c>
      <c r="B500" t="inlineStr">
        <is>
          <t>news</t>
        </is>
      </c>
      <c r="C500" t="inlineStr">
        <is>
          <t>tech</t>
        </is>
      </c>
      <c r="D500" t="inlineStr">
        <is>
          <t>세계일보</t>
        </is>
      </c>
      <c r="E500" t="inlineStr">
        <is>
          <t>현화영</t>
        </is>
      </c>
      <c r="F500" t="inlineStr">
        <is>
          <t>한전과 카카오모빌리티, 전기차 충전서비스 개선 위해 손잡았다</t>
        </is>
      </c>
      <c r="G500" s="2">
        <f>HYPERLINK("http://www.segye.com/content/html/2021/05/20/20210520513544.html", "Go to Website")</f>
        <v/>
      </c>
      <c r="H500" t="inlineStr"/>
      <c r="I500" t="inlineStr"/>
      <c r="J500" t="inlineStr"/>
      <c r="K500" t="inlineStr"/>
      <c r="L500" t="inlineStr"/>
      <c r="M500" t="inlineStr"/>
      <c r="N500" t="inlineStr"/>
    </row>
    <row r="501">
      <c r="A501" s="1" t="inlineStr">
        <is>
          <t>2021-05-22</t>
        </is>
      </c>
      <c r="B501" t="inlineStr">
        <is>
          <t>news</t>
        </is>
      </c>
      <c r="C501" t="inlineStr">
        <is>
          <t>economy</t>
        </is>
      </c>
      <c r="D501" t="inlineStr">
        <is>
          <t>머니S</t>
        </is>
      </c>
      <c r="E501" t="inlineStr">
        <is>
          <t>권가림</t>
        </is>
      </c>
      <c r="F501" t="inlineStr">
        <is>
          <t>외풍에 휘청이는 ‘자원빈국’… 탈출구는?</t>
        </is>
      </c>
      <c r="G501" s="2">
        <f>HYPERLINK("http://moneys.mt.co.kr/news/mwView.php?no=2021052117298025421", "Go to Website")</f>
        <v/>
      </c>
      <c r="H501" t="inlineStr"/>
      <c r="I501" t="inlineStr">
        <is>
          <t>B06</t>
        </is>
      </c>
      <c r="J501" s="3" t="n">
        <v>1</v>
      </c>
      <c r="K501" t="inlineStr">
        <is>
          <t>금속 광업</t>
        </is>
      </c>
      <c r="L501" t="inlineStr">
        <is>
          <t>0</t>
        </is>
      </c>
      <c r="M501" s="3" t="n">
        <v>0.921</v>
      </c>
      <c r="N501" t="inlineStr">
        <is>
          <t>중립</t>
        </is>
      </c>
    </row>
    <row r="502">
      <c r="A502" s="1" t="inlineStr">
        <is>
          <t>2021-05-22</t>
        </is>
      </c>
      <c r="B502" t="inlineStr">
        <is>
          <t>news</t>
        </is>
      </c>
      <c r="C502" t="inlineStr">
        <is>
          <t>economy</t>
        </is>
      </c>
      <c r="D502" t="inlineStr">
        <is>
          <t>머니S</t>
        </is>
      </c>
      <c r="E502" t="inlineStr">
        <is>
          <t>이한듬</t>
        </is>
      </c>
      <c r="F502" t="inlineStr">
        <is>
          <t>브레이크 없는 철광석·구리값… 산업계 ‘초긴장’</t>
        </is>
      </c>
      <c r="G502" s="2">
        <f>HYPERLINK("http://moneys.mt.co.kr/news/mwView.php?no=2021052113548086860", "Go to Website")</f>
        <v/>
      </c>
      <c r="H502" t="inlineStr"/>
      <c r="I502" t="inlineStr">
        <is>
          <t>B06</t>
        </is>
      </c>
      <c r="J502" s="3" t="n">
        <v>1</v>
      </c>
      <c r="K502" t="inlineStr">
        <is>
          <t>금속 광업</t>
        </is>
      </c>
      <c r="L502" t="inlineStr">
        <is>
          <t>0</t>
        </is>
      </c>
      <c r="M502" s="3" t="n">
        <v>0.945</v>
      </c>
      <c r="N502" t="inlineStr">
        <is>
          <t>중립</t>
        </is>
      </c>
    </row>
    <row r="503">
      <c r="A503" s="1" t="inlineStr">
        <is>
          <t>2021-05-22</t>
        </is>
      </c>
      <c r="B503" t="inlineStr">
        <is>
          <t>news</t>
        </is>
      </c>
      <c r="C503" t="inlineStr">
        <is>
          <t>economy</t>
        </is>
      </c>
      <c r="D503" t="inlineStr">
        <is>
          <t>이데일리</t>
        </is>
      </c>
      <c r="E503" t="inlineStr">
        <is>
          <t>이정훈</t>
        </is>
      </c>
      <c r="F503" t="inlineStr">
        <is>
          <t>테슬라 자금조달 능력에 의구심…BoA, 목표주가 대폭 낮춰</t>
        </is>
      </c>
      <c r="G503" s="2">
        <f>HYPERLINK("http://www.edaily.co.kr/news/newspath.asp?newsid=01213606629051544", "Go to Website")</f>
        <v/>
      </c>
      <c r="H503" t="inlineStr"/>
      <c r="I503" t="inlineStr">
        <is>
          <t>C20</t>
        </is>
      </c>
      <c r="J503" s="3" t="n">
        <v>0.376</v>
      </c>
      <c r="K503" t="inlineStr">
        <is>
          <t>화학 물질 및 화학제품 제조업; 의약품 제외</t>
        </is>
      </c>
      <c r="L503" t="inlineStr"/>
      <c r="M503" t="inlineStr"/>
      <c r="N503" t="inlineStr"/>
    </row>
    <row r="504">
      <c r="A504" s="1" t="inlineStr">
        <is>
          <t>2021-05-22</t>
        </is>
      </c>
      <c r="B504" t="inlineStr">
        <is>
          <t>news</t>
        </is>
      </c>
      <c r="C504" t="inlineStr">
        <is>
          <t>economy</t>
        </is>
      </c>
      <c r="D504" t="inlineStr">
        <is>
          <t>서울경제</t>
        </is>
      </c>
      <c r="E504" t="inlineStr">
        <is>
          <t>조교환</t>
        </is>
      </c>
      <c r="F504" t="inlineStr">
        <is>
          <t>"테슬라 목표주가 700달러"···22%나 내린 이유는</t>
        </is>
      </c>
      <c r="G504" s="2">
        <f>HYPERLINK("https://www.sedaily.com/NewsView/22MGJ3AWZG", "Go to Website")</f>
        <v/>
      </c>
      <c r="H504" t="inlineStr"/>
      <c r="I504" t="inlineStr">
        <is>
          <t>C20</t>
        </is>
      </c>
      <c r="J504" s="3" t="n">
        <v>0.554</v>
      </c>
      <c r="K504" t="inlineStr">
        <is>
          <t>화학 물질 및 화학제품 제조업; 의약품 제외</t>
        </is>
      </c>
      <c r="L504" t="inlineStr"/>
      <c r="M504" t="inlineStr"/>
      <c r="N504" t="inlineStr"/>
    </row>
    <row r="505">
      <c r="A505" s="1" t="inlineStr">
        <is>
          <t>2021-05-22</t>
        </is>
      </c>
      <c r="B505" t="inlineStr">
        <is>
          <t>news</t>
        </is>
      </c>
      <c r="C505" t="inlineStr">
        <is>
          <t>economy</t>
        </is>
      </c>
      <c r="D505" t="inlineStr">
        <is>
          <t>연합뉴스</t>
        </is>
      </c>
      <c r="E505" t="inlineStr">
        <is>
          <t>권희원</t>
        </is>
      </c>
      <c r="F505" t="inlineStr">
        <is>
          <t>한국서 테슬라 판매 19% 감소하는 사이 벤츠 전기차 10배 팔렸다</t>
        </is>
      </c>
      <c r="G505" s="2">
        <f>HYPERLINK("http://yna.kr/AKR20210521155600003?did=1195m", "Go to Website")</f>
        <v/>
      </c>
      <c r="H505" t="inlineStr"/>
      <c r="I505" t="inlineStr">
        <is>
          <t>C26</t>
        </is>
      </c>
      <c r="J505" s="3" t="n">
        <v>0.572</v>
      </c>
      <c r="K505" t="inlineStr">
        <is>
          <t>전자 부품, 컴퓨터, 영상, 음향 및 통신장비 제조업</t>
        </is>
      </c>
      <c r="L505" t="inlineStr"/>
      <c r="M505" t="inlineStr"/>
      <c r="N505" t="inlineStr"/>
    </row>
    <row r="506">
      <c r="A506" s="1" t="inlineStr">
        <is>
          <t>2021-05-22</t>
        </is>
      </c>
      <c r="B506" t="inlineStr">
        <is>
          <t>news</t>
        </is>
      </c>
      <c r="C506" t="inlineStr">
        <is>
          <t>economy</t>
        </is>
      </c>
      <c r="D506" t="inlineStr">
        <is>
          <t>뉴시스</t>
        </is>
      </c>
      <c r="E506" t="inlineStr">
        <is>
          <t>남빛나라</t>
        </is>
      </c>
      <c r="F506" t="inlineStr">
        <is>
          <t>백악관, 인프라 투자법안 1조7000억달러로 축소 제안</t>
        </is>
      </c>
      <c r="G506" s="2">
        <f>HYPERLINK("http://www.newsis.com/view/?id=NISX20210522_0001449412&amp;cID=10101&amp;pID=10100", "Go to Website")</f>
        <v/>
      </c>
      <c r="H506" t="inlineStr"/>
      <c r="I506" t="inlineStr">
        <is>
          <t>C11</t>
        </is>
      </c>
      <c r="J506" s="3" t="n">
        <v>0.867</v>
      </c>
      <c r="K506" t="inlineStr">
        <is>
          <t>음료 제조업</t>
        </is>
      </c>
      <c r="L506" t="inlineStr"/>
      <c r="M506" t="inlineStr"/>
      <c r="N506" t="inlineStr"/>
    </row>
    <row r="507">
      <c r="A507" s="1" t="inlineStr">
        <is>
          <t>2021-05-22</t>
        </is>
      </c>
      <c r="B507" t="inlineStr">
        <is>
          <t>news</t>
        </is>
      </c>
      <c r="C507" t="inlineStr">
        <is>
          <t>tech</t>
        </is>
      </c>
      <c r="D507" t="inlineStr">
        <is>
          <t>ZDNet Korea</t>
        </is>
      </c>
      <c r="E507" t="inlineStr">
        <is>
          <t>주문정</t>
        </is>
      </c>
      <c r="F507" t="inlineStr">
        <is>
          <t>삼성·현대차·LG·SK 등 미국에 400억달러 투자…듀폰·퀄컴도 한국에 지속 투자</t>
        </is>
      </c>
      <c r="G507" s="2">
        <f>HYPERLINK("https://zdnet.co.kr/view/?no=20210522043058", "Go to Website")</f>
        <v/>
      </c>
      <c r="H507" t="inlineStr"/>
      <c r="I507" t="inlineStr"/>
      <c r="J507" t="inlineStr"/>
      <c r="K507" t="inlineStr"/>
      <c r="L507" t="inlineStr"/>
      <c r="M507" t="inlineStr"/>
      <c r="N507" t="inlineStr"/>
    </row>
    <row r="508">
      <c r="A508" s="1" t="inlineStr">
        <is>
          <t>2021-05-22</t>
        </is>
      </c>
      <c r="B508" t="inlineStr">
        <is>
          <t>news</t>
        </is>
      </c>
      <c r="C508" t="inlineStr">
        <is>
          <t>economy</t>
        </is>
      </c>
      <c r="D508" t="inlineStr">
        <is>
          <t>국민일보</t>
        </is>
      </c>
      <c r="E508" t="inlineStr">
        <is>
          <t>김지애</t>
        </is>
      </c>
      <c r="F508" t="inlineStr">
        <is>
          <t>사업 다각화 나섰지만… 여전히 유가만 쳐다보는 정유업계</t>
        </is>
      </c>
      <c r="G508" s="2">
        <f>HYPERLINK("http://news.kmib.co.kr/article/view.asp?arcid=0924192135&amp;code=11151400", "Go to Website")</f>
        <v/>
      </c>
      <c r="H508" t="inlineStr"/>
      <c r="I508" t="inlineStr">
        <is>
          <t>100</t>
        </is>
      </c>
      <c r="J508" s="3" t="n">
        <v>0.999</v>
      </c>
      <c r="K508" t="inlineStr">
        <is>
          <t>분류 제외, 기타</t>
        </is>
      </c>
      <c r="L508" t="inlineStr"/>
      <c r="M508" t="inlineStr"/>
      <c r="N508" t="inlineStr"/>
    </row>
    <row r="509">
      <c r="A509" s="1" t="inlineStr">
        <is>
          <t>2021-05-22</t>
        </is>
      </c>
      <c r="B509" t="inlineStr">
        <is>
          <t>news</t>
        </is>
      </c>
      <c r="C509" t="inlineStr">
        <is>
          <t>economy</t>
        </is>
      </c>
      <c r="D509" t="inlineStr">
        <is>
          <t>서울경제</t>
        </is>
      </c>
      <c r="E509" t="inlineStr">
        <is>
          <t>김우보</t>
        </is>
      </c>
      <c r="F509" t="inlineStr">
        <is>
          <t>韓 "44조원 투자 우리 기업에 인센티브 필요"···美에 요청</t>
        </is>
      </c>
      <c r="G509" s="2">
        <f>HYPERLINK("https://www.sedaily.com/NewsView/22MGIVLOBF", "Go to Website")</f>
        <v/>
      </c>
      <c r="H509" t="inlineStr"/>
      <c r="I509" t="inlineStr">
        <is>
          <t>100</t>
        </is>
      </c>
      <c r="J509" s="3" t="n">
        <v>0.982</v>
      </c>
      <c r="K509" t="inlineStr">
        <is>
          <t>분류 제외, 기타</t>
        </is>
      </c>
      <c r="L509" t="inlineStr"/>
      <c r="M509" t="inlineStr"/>
      <c r="N509" t="inlineStr"/>
    </row>
    <row r="510">
      <c r="A510" s="1" t="inlineStr">
        <is>
          <t>2021-05-22</t>
        </is>
      </c>
      <c r="B510" t="inlineStr">
        <is>
          <t>news</t>
        </is>
      </c>
      <c r="C510" t="inlineStr">
        <is>
          <t>economy</t>
        </is>
      </c>
      <c r="D510" t="inlineStr">
        <is>
          <t>연합뉴스</t>
        </is>
      </c>
      <c r="E510" t="inlineStr">
        <is>
          <t>윤보람</t>
        </is>
      </c>
      <c r="F510" t="inlineStr">
        <is>
          <t>정부 "44조원 투자 우리 기업에 인센티브 달라"…美에 요청</t>
        </is>
      </c>
      <c r="G510" s="2">
        <f>HYPERLINK("http://yna.kr/AKR20210522004700003?did=1195m", "Go to Website")</f>
        <v/>
      </c>
      <c r="H510" t="inlineStr"/>
      <c r="I510" t="inlineStr">
        <is>
          <t>100</t>
        </is>
      </c>
      <c r="J510" s="3" t="n">
        <v>0.953</v>
      </c>
      <c r="K510" t="inlineStr">
        <is>
          <t>분류 제외, 기타</t>
        </is>
      </c>
      <c r="L510" t="inlineStr"/>
      <c r="M510" t="inlineStr"/>
      <c r="N510" t="inlineStr"/>
    </row>
    <row r="511">
      <c r="A511" s="1" t="inlineStr">
        <is>
          <t>2021-05-22</t>
        </is>
      </c>
      <c r="B511" t="inlineStr">
        <is>
          <t>news</t>
        </is>
      </c>
      <c r="C511" t="inlineStr">
        <is>
          <t>economy</t>
        </is>
      </c>
      <c r="D511" t="inlineStr">
        <is>
          <t>뉴시스</t>
        </is>
      </c>
      <c r="E511" t="inlineStr">
        <is>
          <t>이승재</t>
        </is>
      </c>
      <c r="F511" t="inlineStr">
        <is>
          <t>美 상무장관 만난 문승욱 "세제·인프라 등 韓기업 투자 지원 당부"</t>
        </is>
      </c>
      <c r="G511" s="2">
        <f>HYPERLINK("http://www.newsis.com/view/?id=NISX20210522_0001449406&amp;cID=10401&amp;pID=10400", "Go to Website")</f>
        <v/>
      </c>
      <c r="H511" t="inlineStr"/>
      <c r="I511" t="inlineStr">
        <is>
          <t>100</t>
        </is>
      </c>
      <c r="J511" s="3" t="n">
        <v>1</v>
      </c>
      <c r="K511" t="inlineStr">
        <is>
          <t>분류 제외, 기타</t>
        </is>
      </c>
      <c r="L511" t="inlineStr"/>
      <c r="M511" t="inlineStr"/>
      <c r="N511" t="inlineStr"/>
    </row>
    <row r="512">
      <c r="A512" s="1" t="inlineStr">
        <is>
          <t>2021-05-22</t>
        </is>
      </c>
      <c r="B512" t="inlineStr">
        <is>
          <t>news</t>
        </is>
      </c>
      <c r="C512" t="inlineStr">
        <is>
          <t>economy</t>
        </is>
      </c>
      <c r="D512" t="inlineStr">
        <is>
          <t>세계일보</t>
        </is>
      </c>
      <c r="E512" t="inlineStr">
        <is>
          <t>나기천</t>
        </is>
      </c>
      <c r="F512" t="inlineStr">
        <is>
          <t>자율주행 레벨4 2027년 상용화 2028년 UAM 도심 난다</t>
        </is>
      </c>
      <c r="G512" s="2">
        <f>HYPERLINK("http://www.segye.com/content/html/2021/05/21/20210521511086.html", "Go to Website")</f>
        <v/>
      </c>
      <c r="H512" t="inlineStr"/>
      <c r="I512" t="inlineStr">
        <is>
          <t>100</t>
        </is>
      </c>
      <c r="J512" s="3" t="n">
        <v>0.327</v>
      </c>
      <c r="K512" t="inlineStr">
        <is>
          <t>분류 제외, 기타</t>
        </is>
      </c>
      <c r="L512" t="inlineStr"/>
      <c r="M512" t="inlineStr"/>
      <c r="N512" t="inlineStr"/>
    </row>
    <row r="513">
      <c r="A513" s="1" t="inlineStr">
        <is>
          <t>2021-05-22</t>
        </is>
      </c>
      <c r="B513" t="inlineStr">
        <is>
          <t>news</t>
        </is>
      </c>
      <c r="C513" t="inlineStr">
        <is>
          <t>economy</t>
        </is>
      </c>
      <c r="D513" t="inlineStr">
        <is>
          <t>노컷뉴스</t>
        </is>
      </c>
      <c r="E513" t="inlineStr">
        <is>
          <t>이기범</t>
        </is>
      </c>
      <c r="F513" t="inlineStr">
        <is>
          <t>삼성전자·현대차 등 41조원 규모 대미 투자 계획 밝혀</t>
        </is>
      </c>
      <c r="G513" s="2">
        <f>HYPERLINK("https://www.nocutnews.co.kr/news/5556918", "Go to Website")</f>
        <v/>
      </c>
      <c r="H513" t="inlineStr"/>
      <c r="I513" t="inlineStr">
        <is>
          <t>C26</t>
        </is>
      </c>
      <c r="J513" s="3" t="n">
        <v>0.795</v>
      </c>
      <c r="K513" t="inlineStr">
        <is>
          <t>전자 부품, 컴퓨터, 영상, 음향 및 통신장비 제조업</t>
        </is>
      </c>
      <c r="L513" t="inlineStr"/>
      <c r="M513" t="inlineStr"/>
      <c r="N513" t="inlineStr"/>
    </row>
    <row r="514">
      <c r="A514" s="1" t="inlineStr">
        <is>
          <t>2021-05-22</t>
        </is>
      </c>
      <c r="B514" t="inlineStr">
        <is>
          <t>news</t>
        </is>
      </c>
      <c r="C514" t="inlineStr">
        <is>
          <t>economy</t>
        </is>
      </c>
      <c r="D514" t="inlineStr">
        <is>
          <t>뉴스1</t>
        </is>
      </c>
      <c r="E514" t="inlineStr">
        <is>
          <t>박기락</t>
        </is>
      </c>
      <c r="F514" t="inlineStr">
        <is>
          <t>문승욱 산업장관 "44조원 美투자 우리기업에 세제 등 인센티브 달라"</t>
        </is>
      </c>
      <c r="G514" s="2">
        <f>HYPERLINK("https://www.news1.kr/articles/?4314179", "Go to Website")</f>
        <v/>
      </c>
      <c r="H514" t="inlineStr"/>
      <c r="I514" t="inlineStr">
        <is>
          <t>100</t>
        </is>
      </c>
      <c r="J514" s="3" t="n">
        <v>1</v>
      </c>
      <c r="K514" t="inlineStr">
        <is>
          <t>분류 제외, 기타</t>
        </is>
      </c>
      <c r="L514" t="inlineStr"/>
      <c r="M514" t="inlineStr"/>
      <c r="N514" t="inlineStr"/>
    </row>
    <row r="515">
      <c r="A515" s="1" t="inlineStr">
        <is>
          <t>2021-05-22</t>
        </is>
      </c>
      <c r="B515" t="inlineStr">
        <is>
          <t>news</t>
        </is>
      </c>
      <c r="C515" t="inlineStr">
        <is>
          <t>economy</t>
        </is>
      </c>
      <c r="D515" t="inlineStr">
        <is>
          <t>뉴스1</t>
        </is>
      </c>
      <c r="E515" t="inlineStr">
        <is>
          <t>류정민</t>
        </is>
      </c>
      <c r="F515" t="inlineStr">
        <is>
          <t>최태원 SK 회장 "바이오 등 3대 중점사업 대미 투자 확대"</t>
        </is>
      </c>
      <c r="G515" s="2">
        <f>HYPERLINK("https://www.news1.kr/articles/?4314178", "Go to Website")</f>
        <v/>
      </c>
      <c r="H515" t="inlineStr"/>
      <c r="I515" t="inlineStr">
        <is>
          <t>A01</t>
        </is>
      </c>
      <c r="J515" s="3" t="n">
        <v>0.953</v>
      </c>
      <c r="K515" t="inlineStr">
        <is>
          <t>농업</t>
        </is>
      </c>
      <c r="L515" t="inlineStr">
        <is>
          <t>0</t>
        </is>
      </c>
      <c r="M515" s="3" t="n">
        <v>0.887</v>
      </c>
      <c r="N515" t="inlineStr">
        <is>
          <t>중립</t>
        </is>
      </c>
    </row>
    <row r="516">
      <c r="A516" s="1" t="inlineStr">
        <is>
          <t>2021-05-22</t>
        </is>
      </c>
      <c r="B516" t="inlineStr">
        <is>
          <t>news</t>
        </is>
      </c>
      <c r="C516" t="inlineStr">
        <is>
          <t>economy</t>
        </is>
      </c>
      <c r="D516" t="inlineStr">
        <is>
          <t>뉴시스</t>
        </is>
      </c>
      <c r="E516" t="inlineStr">
        <is>
          <t>안채원</t>
        </is>
      </c>
      <c r="F516" t="inlineStr">
        <is>
          <t>文대통령 "미국, 투자 인센티브 주면 우리 기업 더 많이 투자"</t>
        </is>
      </c>
      <c r="G516" s="2">
        <f>HYPERLINK("http://www.newsis.com/view/?id=NISX20210522_0001449395&amp;cID=10301&amp;pID=10300", "Go to Website")</f>
        <v/>
      </c>
      <c r="H516" t="inlineStr"/>
      <c r="I516" t="inlineStr">
        <is>
          <t>K64</t>
        </is>
      </c>
      <c r="J516" s="3" t="n">
        <v>0.337</v>
      </c>
      <c r="K516" t="inlineStr">
        <is>
          <t>금융업</t>
        </is>
      </c>
      <c r="L516" t="inlineStr"/>
      <c r="M516" t="inlineStr"/>
      <c r="N516" t="inlineStr"/>
    </row>
    <row r="517">
      <c r="A517" s="1" t="inlineStr">
        <is>
          <t>2021-05-22</t>
        </is>
      </c>
      <c r="B517" t="inlineStr">
        <is>
          <t>news</t>
        </is>
      </c>
      <c r="C517" t="inlineStr">
        <is>
          <t>economy</t>
        </is>
      </c>
      <c r="D517" t="inlineStr">
        <is>
          <t>데일리안</t>
        </is>
      </c>
      <c r="E517" t="inlineStr">
        <is>
          <t>고수정</t>
        </is>
      </c>
      <c r="F517" t="inlineStr">
        <is>
          <t>문대통령 "美 정부, 우리 기업 투자 인센티브 노력해 달라"</t>
        </is>
      </c>
      <c r="G517" s="2">
        <f>HYPERLINK("https://www.dailian.co.kr/news/view/993685/", "Go to Website")</f>
        <v/>
      </c>
      <c r="H517" t="inlineStr"/>
      <c r="I517" t="inlineStr">
        <is>
          <t>C29</t>
        </is>
      </c>
      <c r="J517" s="3" t="n">
        <v>0.832</v>
      </c>
      <c r="K517" t="inlineStr">
        <is>
          <t>기타 기계 및 장비 제조업</t>
        </is>
      </c>
      <c r="L517" t="inlineStr"/>
      <c r="M517" t="inlineStr"/>
      <c r="N517" t="inlineStr"/>
    </row>
    <row r="518">
      <c r="A518" s="1" t="inlineStr">
        <is>
          <t>2021-05-22</t>
        </is>
      </c>
      <c r="B518" t="inlineStr">
        <is>
          <t>news</t>
        </is>
      </c>
      <c r="C518" t="inlineStr">
        <is>
          <t>economy</t>
        </is>
      </c>
      <c r="D518" t="inlineStr">
        <is>
          <t>뉴시스</t>
        </is>
      </c>
      <c r="E518" t="inlineStr">
        <is>
          <t>정윤아</t>
        </is>
      </c>
      <c r="F518" t="inlineStr">
        <is>
          <t>SK이노-포드·LG엔솔-GM 전기차 동맹…한·미 배터리 합종연횡 본격화(종합)</t>
        </is>
      </c>
      <c r="G518" s="2">
        <f>HYPERLINK("http://www.newsis.com/view/?id=NISX20210521_0001448516&amp;cID=13001&amp;pID=13000", "Go to Website")</f>
        <v/>
      </c>
      <c r="H518" t="inlineStr"/>
      <c r="I518" t="inlineStr">
        <is>
          <t>C26</t>
        </is>
      </c>
      <c r="J518" s="3" t="n">
        <v>0.512</v>
      </c>
      <c r="K518" t="inlineStr">
        <is>
          <t>전자 부품, 컴퓨터, 영상, 음향 및 통신장비 제조업</t>
        </is>
      </c>
      <c r="L518" t="inlineStr">
        <is>
          <t>1</t>
        </is>
      </c>
      <c r="M518" s="3" t="n">
        <v>0.948</v>
      </c>
      <c r="N518" t="inlineStr">
        <is>
          <t>긍정</t>
        </is>
      </c>
    </row>
    <row r="519">
      <c r="A519" s="1" t="inlineStr">
        <is>
          <t>2021-05-22</t>
        </is>
      </c>
      <c r="B519" t="inlineStr">
        <is>
          <t>news</t>
        </is>
      </c>
      <c r="C519" t="inlineStr">
        <is>
          <t>economy</t>
        </is>
      </c>
      <c r="D519" t="inlineStr">
        <is>
          <t>매일신문</t>
        </is>
      </c>
      <c r="E519" t="inlineStr">
        <is>
          <t>이주형</t>
        </is>
      </c>
      <c r="F519" t="inlineStr">
        <is>
          <t>한국 기업 미국에  통 큰 선물 보따리…삼성 19조 등 44조 규모 투자</t>
        </is>
      </c>
      <c r="G519" s="2">
        <f>HYPERLINK("https://news.imaeil.com/Economy/2021052200581308658", "Go to Website")</f>
        <v/>
      </c>
      <c r="H519" t="inlineStr"/>
      <c r="I519" t="inlineStr">
        <is>
          <t>K64</t>
        </is>
      </c>
      <c r="J519" s="3" t="n">
        <v>0.41</v>
      </c>
      <c r="K519" t="inlineStr">
        <is>
          <t>금융업</t>
        </is>
      </c>
      <c r="L519" t="inlineStr"/>
      <c r="M519" t="inlineStr"/>
      <c r="N519" t="inlineStr"/>
    </row>
    <row r="520">
      <c r="A520" s="1" t="inlineStr">
        <is>
          <t>2021-05-22</t>
        </is>
      </c>
      <c r="B520" t="inlineStr">
        <is>
          <t>news</t>
        </is>
      </c>
      <c r="C520" t="inlineStr">
        <is>
          <t>economy</t>
        </is>
      </c>
      <c r="D520" t="inlineStr">
        <is>
          <t>뉴스1</t>
        </is>
      </c>
      <c r="E520" t="inlineStr">
        <is>
          <t>박혜연</t>
        </is>
      </c>
      <c r="F520" t="inlineStr">
        <is>
          <t>文 "한미, 반도체·배터리·백신 협력 기대"…4대그룹 44조 대미투자(종합2보)</t>
        </is>
      </c>
      <c r="G520" s="2">
        <f>HYPERLINK("https://www.news1.kr/articles/?4314175", "Go to Website")</f>
        <v/>
      </c>
      <c r="H520" t="inlineStr"/>
      <c r="I520" t="inlineStr">
        <is>
          <t>100</t>
        </is>
      </c>
      <c r="J520" s="3" t="n">
        <v>0.678</v>
      </c>
      <c r="K520" t="inlineStr">
        <is>
          <t>분류 제외, 기타</t>
        </is>
      </c>
      <c r="L520" t="inlineStr"/>
      <c r="M520" t="inlineStr"/>
      <c r="N520" t="inlineStr"/>
    </row>
    <row r="521">
      <c r="A521" s="1" t="inlineStr">
        <is>
          <t>2021-05-22</t>
        </is>
      </c>
      <c r="B521" t="inlineStr">
        <is>
          <t>news</t>
        </is>
      </c>
      <c r="C521" t="inlineStr">
        <is>
          <t>economy</t>
        </is>
      </c>
      <c r="D521" t="inlineStr">
        <is>
          <t>동아일보</t>
        </is>
      </c>
      <c r="E521" t="inlineStr">
        <is>
          <t>홍석호</t>
        </is>
      </c>
      <c r="F521" t="inlineStr">
        <is>
          <t>4대그룹, 美에 44조 투자…文 “반도체-배터리-바이오 최적 파트너”</t>
        </is>
      </c>
      <c r="G521" s="2">
        <f>HYPERLINK("https://www.donga.com/news/article/all/20210522/107055376/1", "Go to Website")</f>
        <v/>
      </c>
      <c r="H521" t="inlineStr"/>
      <c r="I521" t="inlineStr">
        <is>
          <t>Q86</t>
        </is>
      </c>
      <c r="J521" s="3" t="n">
        <v>0.85</v>
      </c>
      <c r="K521" t="inlineStr">
        <is>
          <t>보건업</t>
        </is>
      </c>
      <c r="L521" t="inlineStr"/>
      <c r="M521" t="inlineStr"/>
      <c r="N521" t="inlineStr"/>
    </row>
    <row r="522">
      <c r="A522" s="1" t="inlineStr">
        <is>
          <t>2021-05-22</t>
        </is>
      </c>
      <c r="B522" t="inlineStr">
        <is>
          <t>news</t>
        </is>
      </c>
      <c r="C522" t="inlineStr">
        <is>
          <t>economy</t>
        </is>
      </c>
      <c r="D522" t="inlineStr">
        <is>
          <t>세계일보</t>
        </is>
      </c>
      <c r="E522" t="inlineStr">
        <is>
          <t>이도형</t>
        </is>
      </c>
      <c r="F522" t="inlineStr">
        <is>
          <t>국내 4대 그룹, 미국에 40조 투자계획 추진</t>
        </is>
      </c>
      <c r="G522" s="2">
        <f>HYPERLINK("http://www.segye.com/content/html/2021/05/21/20210521515489.html", "Go to Website")</f>
        <v/>
      </c>
      <c r="H522" t="inlineStr"/>
      <c r="I522" t="inlineStr">
        <is>
          <t>100</t>
        </is>
      </c>
      <c r="J522" s="3" t="n">
        <v>0.342</v>
      </c>
      <c r="K522" t="inlineStr">
        <is>
          <t>분류 제외, 기타</t>
        </is>
      </c>
      <c r="L522" t="inlineStr"/>
      <c r="M522" t="inlineStr"/>
      <c r="N522" t="inlineStr"/>
    </row>
    <row r="523">
      <c r="A523" s="1" t="inlineStr">
        <is>
          <t>2021-05-22</t>
        </is>
      </c>
      <c r="B523" t="inlineStr">
        <is>
          <t>news</t>
        </is>
      </c>
      <c r="C523" t="inlineStr">
        <is>
          <t>economy</t>
        </is>
      </c>
      <c r="D523" t="inlineStr">
        <is>
          <t>뉴스1</t>
        </is>
      </c>
      <c r="E523" t="inlineStr">
        <is>
          <t>류정민</t>
        </is>
      </c>
      <c r="F523" t="inlineStr">
        <is>
          <t>韓 기업 44조 대미투자 보따리 풀었다…삼성전자, 파운드리 19조 투자</t>
        </is>
      </c>
      <c r="G523" s="2">
        <f>HYPERLINK("https://www.news1.kr/articles/?4314170", "Go to Website")</f>
        <v/>
      </c>
      <c r="H523" t="inlineStr"/>
      <c r="I523" t="inlineStr">
        <is>
          <t>C26</t>
        </is>
      </c>
      <c r="J523" s="3" t="n">
        <v>0.987</v>
      </c>
      <c r="K523" t="inlineStr">
        <is>
          <t>전자 부품, 컴퓨터, 영상, 음향 및 통신장비 제조업</t>
        </is>
      </c>
      <c r="L523" t="inlineStr">
        <is>
          <t>0</t>
        </is>
      </c>
      <c r="M523" s="3" t="n">
        <v>0.8080000000000001</v>
      </c>
      <c r="N523" t="inlineStr">
        <is>
          <t>중립</t>
        </is>
      </c>
    </row>
    <row r="524">
      <c r="A524" s="1" t="inlineStr">
        <is>
          <t>2021-05-22</t>
        </is>
      </c>
      <c r="B524" t="inlineStr">
        <is>
          <t>news</t>
        </is>
      </c>
      <c r="C524" t="inlineStr">
        <is>
          <t>tech</t>
        </is>
      </c>
      <c r="D524" t="inlineStr">
        <is>
          <t>연합뉴스</t>
        </is>
      </c>
      <c r="E524" t="inlineStr">
        <is>
          <t>서미숙</t>
        </is>
      </c>
      <c r="F524" t="inlineStr">
        <is>
          <t>미국 투자 확대하는 4대 그룹…반도체·전기차 글로벌 지위 강화</t>
        </is>
      </c>
      <c r="G524" s="2">
        <f>HYPERLINK("http://yna.kr/AKR20210522001100003?did=1195m", "Go to Website")</f>
        <v/>
      </c>
      <c r="H524" t="inlineStr"/>
      <c r="I524" t="inlineStr"/>
      <c r="J524" t="inlineStr"/>
      <c r="K524" t="inlineStr"/>
      <c r="L524" t="inlineStr"/>
      <c r="M524" t="inlineStr"/>
      <c r="N524" t="inlineStr"/>
    </row>
    <row r="525">
      <c r="A525" s="1" t="inlineStr">
        <is>
          <t>2021-05-22</t>
        </is>
      </c>
      <c r="B525" t="inlineStr">
        <is>
          <t>news</t>
        </is>
      </c>
      <c r="C525" t="inlineStr">
        <is>
          <t>economy</t>
        </is>
      </c>
      <c r="D525" t="inlineStr">
        <is>
          <t>뉴스1</t>
        </is>
      </c>
      <c r="E525" t="inlineStr">
        <is>
          <t>박혜연</t>
        </is>
      </c>
      <c r="F525" t="inlineStr">
        <is>
          <t>文 "한미, 반도체·배터리·바이오 시너지 기대"…4대그룹 44조 대미투자(종합)</t>
        </is>
      </c>
      <c r="G525" s="2">
        <f>HYPERLINK("https://www.news1.kr/articles/?4314165", "Go to Website")</f>
        <v/>
      </c>
      <c r="H525" t="inlineStr"/>
      <c r="I525" t="inlineStr">
        <is>
          <t>Q86</t>
        </is>
      </c>
      <c r="J525" s="3" t="n">
        <v>0.643</v>
      </c>
      <c r="K525" t="inlineStr">
        <is>
          <t>보건업</t>
        </is>
      </c>
      <c r="L525" t="inlineStr"/>
      <c r="M525" t="inlineStr"/>
      <c r="N525" t="inlineStr"/>
    </row>
    <row r="526">
      <c r="A526" s="1" t="inlineStr">
        <is>
          <t>2021-05-22</t>
        </is>
      </c>
      <c r="B526" t="inlineStr">
        <is>
          <t>news</t>
        </is>
      </c>
      <c r="C526" t="inlineStr">
        <is>
          <t>economy</t>
        </is>
      </c>
      <c r="D526" t="inlineStr">
        <is>
          <t>더팩트</t>
        </is>
      </c>
      <c r="E526" t="inlineStr">
        <is>
          <t>황원영</t>
        </is>
      </c>
      <c r="F526" t="inlineStr">
        <is>
          <t>비트코인 살리기 안간힘? 머스크 "환경 파괴 해결 가능" 또 말바꿔</t>
        </is>
      </c>
      <c r="G526" s="2">
        <f>HYPERLINK("http://news.tf.co.kr/read/economy/1862698.htm", "Go to Website")</f>
        <v/>
      </c>
      <c r="H526" t="inlineStr"/>
      <c r="I526" t="inlineStr">
        <is>
          <t>C24</t>
        </is>
      </c>
      <c r="J526" s="3" t="n">
        <v>0.253</v>
      </c>
      <c r="K526" t="inlineStr">
        <is>
          <t>1차 금속 제조업</t>
        </is>
      </c>
      <c r="L526" t="inlineStr"/>
      <c r="M526" t="inlineStr"/>
      <c r="N526" t="inlineStr"/>
    </row>
    <row r="527">
      <c r="A527" s="1" t="inlineStr">
        <is>
          <t>2021-05-22</t>
        </is>
      </c>
      <c r="B527" t="inlineStr">
        <is>
          <t>news</t>
        </is>
      </c>
      <c r="C527" t="inlineStr">
        <is>
          <t>economy</t>
        </is>
      </c>
      <c r="D527" t="inlineStr">
        <is>
          <t>더팩트</t>
        </is>
      </c>
      <c r="E527" t="inlineStr"/>
      <c r="F527" t="inlineStr">
        <is>
          <t>'美 동행' 최태원 SK 회장 투자 발표에 쏠리는 관심</t>
        </is>
      </c>
      <c r="G527" s="2">
        <f>HYPERLINK("http://news.tf.co.kr/read/economy/1862499.htm", "Go to Website")</f>
        <v/>
      </c>
      <c r="H527" t="inlineStr"/>
      <c r="I527" t="inlineStr">
        <is>
          <t>K64</t>
        </is>
      </c>
      <c r="J527" s="3" t="n">
        <v>0.508</v>
      </c>
      <c r="K527" t="inlineStr">
        <is>
          <t>금융업</t>
        </is>
      </c>
      <c r="L527" t="inlineStr">
        <is>
          <t>0</t>
        </is>
      </c>
      <c r="M527" s="3" t="n">
        <v>0.801</v>
      </c>
      <c r="N527" t="inlineStr">
        <is>
          <t>중립</t>
        </is>
      </c>
    </row>
    <row r="528">
      <c r="A528" s="1" t="inlineStr">
        <is>
          <t>2021-05-21</t>
        </is>
      </c>
      <c r="B528" t="inlineStr">
        <is>
          <t>news</t>
        </is>
      </c>
      <c r="C528" t="inlineStr">
        <is>
          <t>economy</t>
        </is>
      </c>
      <c r="D528" t="inlineStr">
        <is>
          <t>이데일리</t>
        </is>
      </c>
      <c r="E528" t="inlineStr">
        <is>
          <t>신민준</t>
        </is>
      </c>
      <c r="F528" t="inlineStr">
        <is>
          <t>삼성·현대차·SK·LG, 美에 44조원 투자 보따리 풀었다</t>
        </is>
      </c>
      <c r="G528" s="2">
        <f>HYPERLINK("http://www.edaily.co.kr/news/newspath.asp?newsid=02938886629051216", "Go to Website")</f>
        <v/>
      </c>
      <c r="H528" t="inlineStr"/>
      <c r="I528" t="inlineStr">
        <is>
          <t>C26</t>
        </is>
      </c>
      <c r="J528" s="3" t="n">
        <v>0.948</v>
      </c>
      <c r="K528" t="inlineStr">
        <is>
          <t>전자 부품, 컴퓨터, 영상, 음향 및 통신장비 제조업</t>
        </is>
      </c>
      <c r="L528" t="inlineStr"/>
      <c r="M528" t="inlineStr"/>
      <c r="N528" t="inlineStr"/>
    </row>
    <row r="529">
      <c r="A529" s="1" t="inlineStr">
        <is>
          <t>2021-05-21</t>
        </is>
      </c>
      <c r="B529" t="inlineStr">
        <is>
          <t>news</t>
        </is>
      </c>
      <c r="C529" t="inlineStr">
        <is>
          <t>economy</t>
        </is>
      </c>
      <c r="D529" t="inlineStr">
        <is>
          <t>한국경제</t>
        </is>
      </c>
      <c r="E529" t="inlineStr">
        <is>
          <t>한경닷컴</t>
        </is>
      </c>
      <c r="F529" t="inlineStr">
        <is>
          <t>국내 4대그룹, 美에 '40조' 선물보따리 푼다…삼성 20조 '역대 최대' [종합]</t>
        </is>
      </c>
      <c r="G529" s="2">
        <f>HYPERLINK("https://www.hankyung.com/economy/article/202105217381g", "Go to Website")</f>
        <v/>
      </c>
      <c r="H529" t="inlineStr"/>
      <c r="I529" t="inlineStr">
        <is>
          <t>C26</t>
        </is>
      </c>
      <c r="J529" s="3" t="n">
        <v>0.86</v>
      </c>
      <c r="K529" t="inlineStr">
        <is>
          <t>전자 부품, 컴퓨터, 영상, 음향 및 통신장비 제조업</t>
        </is>
      </c>
      <c r="L529" t="inlineStr"/>
      <c r="M529" t="inlineStr"/>
      <c r="N529" t="inlineStr"/>
    </row>
    <row r="530">
      <c r="A530" s="1" t="inlineStr">
        <is>
          <t>2021-05-21</t>
        </is>
      </c>
      <c r="B530" t="inlineStr">
        <is>
          <t>news</t>
        </is>
      </c>
      <c r="C530" t="inlineStr">
        <is>
          <t>economy</t>
        </is>
      </c>
      <c r="D530" t="inlineStr">
        <is>
          <t>데일리안</t>
        </is>
      </c>
      <c r="E530" t="inlineStr">
        <is>
          <t>고수정</t>
        </is>
      </c>
      <c r="F530" t="inlineStr">
        <is>
          <t>삼성·SK·LG·현대차, 문대통령 참석 행사서 "美에 44조 투자"</t>
        </is>
      </c>
      <c r="G530" s="2">
        <f>HYPERLINK("https://www.dailian.co.kr/news/view/993678/", "Go to Website")</f>
        <v/>
      </c>
      <c r="H530" t="inlineStr"/>
      <c r="I530" t="inlineStr">
        <is>
          <t>C26</t>
        </is>
      </c>
      <c r="J530" s="3" t="n">
        <v>0.654</v>
      </c>
      <c r="K530" t="inlineStr">
        <is>
          <t>전자 부품, 컴퓨터, 영상, 음향 및 통신장비 제조업</t>
        </is>
      </c>
      <c r="L530" t="inlineStr"/>
      <c r="M530" t="inlineStr"/>
      <c r="N530" t="inlineStr"/>
    </row>
    <row r="531">
      <c r="A531" s="1" t="inlineStr">
        <is>
          <t>2021-05-21</t>
        </is>
      </c>
      <c r="B531" t="inlineStr">
        <is>
          <t>news</t>
        </is>
      </c>
      <c r="C531" t="inlineStr">
        <is>
          <t>economy</t>
        </is>
      </c>
      <c r="D531" t="inlineStr">
        <is>
          <t>뉴시스</t>
        </is>
      </c>
      <c r="E531" t="inlineStr">
        <is>
          <t>김성진</t>
        </is>
      </c>
      <c r="F531" t="inlineStr">
        <is>
          <t>삼성·SK·LG 등 '경제사절단' "美에 400억 달러 투자하겠다"</t>
        </is>
      </c>
      <c r="G531" s="2">
        <f>HYPERLINK("http://www.newsis.com/view/?id=NISX20210521_0001449382&amp;cID=10301&amp;pID=10300", "Go to Website")</f>
        <v/>
      </c>
      <c r="H531" t="inlineStr"/>
      <c r="I531" t="inlineStr">
        <is>
          <t>K64</t>
        </is>
      </c>
      <c r="J531" s="3" t="n">
        <v>0.95</v>
      </c>
      <c r="K531" t="inlineStr">
        <is>
          <t>금융업</t>
        </is>
      </c>
      <c r="L531" t="inlineStr"/>
      <c r="M531" t="inlineStr"/>
      <c r="N531" t="inlineStr"/>
    </row>
    <row r="532">
      <c r="A532" s="1" t="inlineStr">
        <is>
          <t>2021-05-21</t>
        </is>
      </c>
      <c r="B532" t="inlineStr">
        <is>
          <t>news</t>
        </is>
      </c>
      <c r="C532" t="inlineStr">
        <is>
          <t>economy</t>
        </is>
      </c>
      <c r="D532" t="inlineStr">
        <is>
          <t>뉴스1</t>
        </is>
      </c>
      <c r="E532" t="inlineStr">
        <is>
          <t>박혜연</t>
        </is>
      </c>
      <c r="F532" t="inlineStr">
        <is>
          <t>文 "한미, 안정적 공급망 구축 최적 파트너"…韓기업 44조 대미투자 발표</t>
        </is>
      </c>
      <c r="G532" s="2">
        <f>HYPERLINK("https://www.news1.kr/articles/?4314156", "Go to Website")</f>
        <v/>
      </c>
      <c r="H532" t="inlineStr"/>
      <c r="I532" t="inlineStr">
        <is>
          <t>Q86</t>
        </is>
      </c>
      <c r="J532" s="3" t="n">
        <v>0.9330000000000001</v>
      </c>
      <c r="K532" t="inlineStr">
        <is>
          <t>보건업</t>
        </is>
      </c>
      <c r="L532" t="inlineStr"/>
      <c r="M532" t="inlineStr"/>
      <c r="N532" t="inlineStr"/>
    </row>
    <row r="533">
      <c r="A533" s="1" t="inlineStr">
        <is>
          <t>2021-05-21</t>
        </is>
      </c>
      <c r="B533" t="inlineStr">
        <is>
          <t>news</t>
        </is>
      </c>
      <c r="C533" t="inlineStr">
        <is>
          <t>economy</t>
        </is>
      </c>
      <c r="D533" t="inlineStr">
        <is>
          <t>연합뉴스</t>
        </is>
      </c>
      <c r="E533" t="inlineStr">
        <is>
          <t>조민정</t>
        </is>
      </c>
      <c r="F533" t="inlineStr">
        <is>
          <t>4대 그룹 美에 40조원 투자 보따리…삼성전자 20조원</t>
        </is>
      </c>
      <c r="G533" s="2">
        <f>HYPERLINK("http://yna.kr/AKR20210521163300001?did=1195m", "Go to Website")</f>
        <v/>
      </c>
      <c r="H533" t="inlineStr"/>
      <c r="I533" t="inlineStr">
        <is>
          <t>100</t>
        </is>
      </c>
      <c r="J533" s="3" t="n">
        <v>0.528</v>
      </c>
      <c r="K533" t="inlineStr">
        <is>
          <t>분류 제외, 기타</t>
        </is>
      </c>
      <c r="L533" t="inlineStr">
        <is>
          <t>0</t>
        </is>
      </c>
      <c r="M533" s="3" t="n">
        <v>0.614</v>
      </c>
      <c r="N533" t="inlineStr">
        <is>
          <t>중립</t>
        </is>
      </c>
    </row>
    <row r="534">
      <c r="A534" s="1" t="inlineStr">
        <is>
          <t>2021-05-21</t>
        </is>
      </c>
      <c r="B534" t="inlineStr">
        <is>
          <t>news</t>
        </is>
      </c>
      <c r="C534" t="inlineStr">
        <is>
          <t>economy</t>
        </is>
      </c>
      <c r="D534" t="inlineStr">
        <is>
          <t>YTN</t>
        </is>
      </c>
      <c r="E534" t="inlineStr">
        <is>
          <t>조용성</t>
        </is>
      </c>
      <c r="F534" t="inlineStr">
        <is>
          <t>한미 경제협력 강화 첫 단추 '배터리'...SK-포드, 美 합작사업</t>
        </is>
      </c>
      <c r="G534" s="2">
        <f>HYPERLINK("https://www.ytn.co.kr/_ln/0102_202105212146258572", "Go to Website")</f>
        <v/>
      </c>
      <c r="H534" t="inlineStr"/>
      <c r="I534" t="inlineStr">
        <is>
          <t>C14</t>
        </is>
      </c>
      <c r="J534" s="3" t="n">
        <v>0.482</v>
      </c>
      <c r="K534" t="inlineStr">
        <is>
          <t>의복, 의복 액세서리 및 모피제품 제조업</t>
        </is>
      </c>
      <c r="L534" t="inlineStr">
        <is>
          <t>1</t>
        </is>
      </c>
      <c r="M534" s="3" t="n">
        <v>0.6909999999999999</v>
      </c>
      <c r="N534" t="inlineStr">
        <is>
          <t>긍정</t>
        </is>
      </c>
    </row>
    <row r="535">
      <c r="A535" s="1" t="inlineStr">
        <is>
          <t>2021-05-21</t>
        </is>
      </c>
      <c r="B535" t="inlineStr">
        <is>
          <t>news</t>
        </is>
      </c>
      <c r="C535" t="inlineStr">
        <is>
          <t>economy</t>
        </is>
      </c>
      <c r="D535" t="inlineStr">
        <is>
          <t>YTN</t>
        </is>
      </c>
      <c r="E535" t="inlineStr">
        <is>
          <t>조용성</t>
        </is>
      </c>
      <c r="F535" t="inlineStr">
        <is>
          <t>한미 경제협력 강화 첫 단추 '배터리'...SK-포드, 美 합작사업</t>
        </is>
      </c>
      <c r="G535" s="2">
        <f>HYPERLINK("https://www.ytn.co.kr/_ln/0102_202105212051438408", "Go to Website")</f>
        <v/>
      </c>
      <c r="H535" t="inlineStr"/>
      <c r="I535" t="inlineStr">
        <is>
          <t>C14</t>
        </is>
      </c>
      <c r="J535" s="3" t="n">
        <v>0.482</v>
      </c>
      <c r="K535" t="inlineStr">
        <is>
          <t>의복, 의복 액세서리 및 모피제품 제조업</t>
        </is>
      </c>
      <c r="L535" t="inlineStr">
        <is>
          <t>1</t>
        </is>
      </c>
      <c r="M535" s="3" t="n">
        <v>0.6909999999999999</v>
      </c>
      <c r="N535" t="inlineStr">
        <is>
          <t>긍정</t>
        </is>
      </c>
    </row>
    <row r="536">
      <c r="A536" s="1" t="inlineStr">
        <is>
          <t>2021-05-21</t>
        </is>
      </c>
      <c r="B536" t="inlineStr">
        <is>
          <t>news</t>
        </is>
      </c>
      <c r="C536" t="inlineStr">
        <is>
          <t>tech</t>
        </is>
      </c>
      <c r="D536" t="inlineStr">
        <is>
          <t>헤럴드경제</t>
        </is>
      </c>
      <c r="E536" t="inlineStr">
        <is>
          <t>박지영</t>
        </is>
      </c>
      <c r="F536" t="inlineStr">
        <is>
          <t>“배달 10번 하면 5천만원짜리 전기차” 배달라이더 확보 출혈경쟁</t>
        </is>
      </c>
      <c r="G536" s="2">
        <f>HYPERLINK("http://news.heraldcorp.com/view.php?ud=20210521000737", "Go to Website")</f>
        <v/>
      </c>
      <c r="H536" t="inlineStr"/>
      <c r="I536" t="inlineStr"/>
      <c r="J536" t="inlineStr"/>
      <c r="K536" t="inlineStr"/>
      <c r="L536" t="inlineStr"/>
      <c r="M536" t="inlineStr"/>
      <c r="N536" t="inlineStr"/>
    </row>
    <row r="537">
      <c r="A537" s="1" t="inlineStr">
        <is>
          <t>2021-05-21</t>
        </is>
      </c>
      <c r="B537" t="inlineStr">
        <is>
          <t>news</t>
        </is>
      </c>
      <c r="C537" t="inlineStr">
        <is>
          <t>economy</t>
        </is>
      </c>
      <c r="D537" t="inlineStr">
        <is>
          <t>오마이뉴스</t>
        </is>
      </c>
      <c r="E537" t="inlineStr">
        <is>
          <t>류승연</t>
        </is>
      </c>
      <c r="F537" t="inlineStr">
        <is>
          <t>한 달 새 반 토막... '암호화폐 시즌2' 끝났을까</t>
        </is>
      </c>
      <c r="G537" s="2">
        <f>HYPERLINK("http://www.ohmynews.com/NWS_Web/View/at_pg.aspx?CNTN_CD=A0002745317&amp;CMPT_CD=P0010&amp;utm_medium=newsearch", "Go to Website")</f>
        <v/>
      </c>
      <c r="H537" t="inlineStr"/>
      <c r="I537" t="inlineStr">
        <is>
          <t>100</t>
        </is>
      </c>
      <c r="J537" s="3" t="n">
        <v>0.86</v>
      </c>
      <c r="K537" t="inlineStr">
        <is>
          <t>분류 제외, 기타</t>
        </is>
      </c>
      <c r="L537" t="inlineStr"/>
      <c r="M537" t="inlineStr"/>
      <c r="N537" t="inlineStr"/>
    </row>
    <row r="538">
      <c r="A538" s="1" t="inlineStr">
        <is>
          <t>2021-05-21</t>
        </is>
      </c>
      <c r="B538" t="inlineStr">
        <is>
          <t>news</t>
        </is>
      </c>
      <c r="C538" t="inlineStr">
        <is>
          <t>economy</t>
        </is>
      </c>
      <c r="D538" t="inlineStr">
        <is>
          <t>YTN</t>
        </is>
      </c>
      <c r="E538" t="inlineStr"/>
      <c r="F538" t="inlineStr">
        <is>
          <t>[생생경제] 美, 백신 주고 반도체 받으면서 '사드' 거론할 수도 -한미정상회담 특별 대담</t>
        </is>
      </c>
      <c r="G538" s="2">
        <f>HYPERLINK("https://www.ytn.co.kr/_ln/0102_202105212009532723", "Go to Website")</f>
        <v/>
      </c>
      <c r="H538" t="inlineStr"/>
      <c r="I538" t="inlineStr">
        <is>
          <t>100</t>
        </is>
      </c>
      <c r="J538" s="3" t="n">
        <v>0.923</v>
      </c>
      <c r="K538" t="inlineStr">
        <is>
          <t>분류 제외, 기타</t>
        </is>
      </c>
      <c r="L538" t="inlineStr"/>
      <c r="M538" t="inlineStr"/>
      <c r="N538" t="inlineStr"/>
    </row>
    <row r="539">
      <c r="A539" s="1" t="inlineStr">
        <is>
          <t>2021-05-21</t>
        </is>
      </c>
      <c r="B539" t="inlineStr">
        <is>
          <t>news</t>
        </is>
      </c>
      <c r="C539" t="inlineStr">
        <is>
          <t>economy</t>
        </is>
      </c>
      <c r="D539" t="inlineStr">
        <is>
          <t>이데일리</t>
        </is>
      </c>
      <c r="E539" t="inlineStr">
        <is>
          <t>김종호</t>
        </is>
      </c>
      <c r="F539" t="inlineStr">
        <is>
          <t>바이든 눈치보기?..韓 4대 그룹, 美에 최소 40조 쏜다</t>
        </is>
      </c>
      <c r="G539" s="2">
        <f>HYPERLINK("http://www.edaily.co.kr/news/newspath.asp?newsid=02889686629051216", "Go to Website")</f>
        <v/>
      </c>
      <c r="H539" t="inlineStr"/>
      <c r="I539" t="inlineStr">
        <is>
          <t>C33</t>
        </is>
      </c>
      <c r="J539" s="3" t="n">
        <v>0.524</v>
      </c>
      <c r="K539" t="inlineStr">
        <is>
          <t>기타 제품 제조업</t>
        </is>
      </c>
      <c r="L539" t="inlineStr"/>
      <c r="M539" t="inlineStr"/>
      <c r="N539" t="inlineStr"/>
    </row>
    <row r="540">
      <c r="A540" s="1" t="inlineStr">
        <is>
          <t>2021-05-21</t>
        </is>
      </c>
      <c r="B540" t="inlineStr">
        <is>
          <t>news</t>
        </is>
      </c>
      <c r="C540" t="inlineStr">
        <is>
          <t>economy</t>
        </is>
      </c>
      <c r="D540" t="inlineStr">
        <is>
          <t>뉴스1</t>
        </is>
      </c>
      <c r="E540" t="inlineStr">
        <is>
          <t>류정민</t>
        </is>
      </c>
      <c r="F540" t="inlineStr">
        <is>
          <t>반도체·배터리 협력 넘어 동맹될까…경제계, 한미정상회담에 촉각</t>
        </is>
      </c>
      <c r="G540" s="2">
        <f>HYPERLINK("https://www.news1.kr/articles/?4314097", "Go to Website")</f>
        <v/>
      </c>
      <c r="H540" t="inlineStr"/>
      <c r="I540" t="inlineStr">
        <is>
          <t>K64</t>
        </is>
      </c>
      <c r="J540" s="3" t="n">
        <v>0.726</v>
      </c>
      <c r="K540" t="inlineStr">
        <is>
          <t>금융업</t>
        </is>
      </c>
      <c r="L540" t="inlineStr"/>
      <c r="M540" t="inlineStr"/>
      <c r="N540" t="inlineStr"/>
    </row>
    <row r="541">
      <c r="A541" s="1" t="inlineStr">
        <is>
          <t>2021-05-21</t>
        </is>
      </c>
      <c r="B541" t="inlineStr">
        <is>
          <t>news</t>
        </is>
      </c>
      <c r="C541" t="inlineStr">
        <is>
          <t>economy</t>
        </is>
      </c>
      <c r="D541" t="inlineStr">
        <is>
          <t>연합뉴스TV</t>
        </is>
      </c>
      <c r="E541" t="inlineStr">
        <is>
          <t>배삼진</t>
        </is>
      </c>
      <c r="F541" t="inlineStr">
        <is>
          <t>배터리·반도체·바이오 협력…한미, 경제동맹 '윈윈'</t>
        </is>
      </c>
      <c r="G541" s="2">
        <f>HYPERLINK("http://www.yonhapnewstv.co.kr/MYH20210521020300641/?did=1825m", "Go to Website")</f>
        <v/>
      </c>
      <c r="H541" t="inlineStr"/>
      <c r="I541" t="inlineStr">
        <is>
          <t>C26</t>
        </is>
      </c>
      <c r="J541" s="3" t="n">
        <v>0.642</v>
      </c>
      <c r="K541" t="inlineStr">
        <is>
          <t>전자 부품, 컴퓨터, 영상, 음향 및 통신장비 제조업</t>
        </is>
      </c>
      <c r="L541" t="inlineStr"/>
      <c r="M541" t="inlineStr"/>
      <c r="N541" t="inlineStr"/>
    </row>
    <row r="542">
      <c r="A542" s="1" t="inlineStr">
        <is>
          <t>2021-05-21</t>
        </is>
      </c>
      <c r="B542" t="inlineStr">
        <is>
          <t>news</t>
        </is>
      </c>
      <c r="C542" t="inlineStr">
        <is>
          <t>economy</t>
        </is>
      </c>
      <c r="D542" t="inlineStr">
        <is>
          <t>서울경제</t>
        </is>
      </c>
      <c r="E542" t="inlineStr">
        <is>
          <t>이승배</t>
        </is>
      </c>
      <c r="F542" t="inlineStr">
        <is>
          <t>국내 ETF 시장 순자산총액 사상 첫 60조 원 돌파</t>
        </is>
      </c>
      <c r="G542" s="2">
        <f>HYPERLINK("https://www.sedaily.com/NewsView/22MG4866XX", "Go to Website")</f>
        <v/>
      </c>
      <c r="H542" t="inlineStr"/>
      <c r="I542" t="inlineStr">
        <is>
          <t>K64</t>
        </is>
      </c>
      <c r="J542" s="3" t="n">
        <v>0.959</v>
      </c>
      <c r="K542" t="inlineStr">
        <is>
          <t>금융업</t>
        </is>
      </c>
      <c r="L542" t="inlineStr"/>
      <c r="M542" t="inlineStr"/>
      <c r="N542" t="inlineStr"/>
    </row>
    <row r="543">
      <c r="A543" s="1" t="inlineStr">
        <is>
          <t>2021-05-21</t>
        </is>
      </c>
      <c r="B543" t="inlineStr">
        <is>
          <t>news</t>
        </is>
      </c>
      <c r="C543" t="inlineStr">
        <is>
          <t>economy</t>
        </is>
      </c>
      <c r="D543" t="inlineStr">
        <is>
          <t>파이낸셜뉴스</t>
        </is>
      </c>
      <c r="E543" t="inlineStr">
        <is>
          <t>조윤진</t>
        </is>
      </c>
      <c r="F543" t="inlineStr">
        <is>
          <t>국내 ETF 순자산총액 60조원 돌파...시장 개설 이래 최초</t>
        </is>
      </c>
      <c r="G543" s="2">
        <f>HYPERLINK("http://www.fnnews.com/news/202105211823311536", "Go to Website")</f>
        <v/>
      </c>
      <c r="H543" t="inlineStr"/>
      <c r="I543" t="inlineStr">
        <is>
          <t>K64</t>
        </is>
      </c>
      <c r="J543" s="3" t="n">
        <v>0.995</v>
      </c>
      <c r="K543" t="inlineStr">
        <is>
          <t>금융업</t>
        </is>
      </c>
      <c r="L543" t="inlineStr"/>
      <c r="M543" t="inlineStr"/>
      <c r="N543" t="inlineStr"/>
    </row>
    <row r="544">
      <c r="A544" s="1" t="inlineStr">
        <is>
          <t>2021-05-21</t>
        </is>
      </c>
      <c r="B544" t="inlineStr">
        <is>
          <t>news</t>
        </is>
      </c>
      <c r="C544" t="inlineStr">
        <is>
          <t>economy</t>
        </is>
      </c>
      <c r="D544" t="inlineStr">
        <is>
          <t>뉴시스</t>
        </is>
      </c>
      <c r="E544" t="inlineStr">
        <is>
          <t>이지예</t>
        </is>
      </c>
      <c r="F544" t="inlineStr">
        <is>
          <t>머스크 "미래에는 모든 교통수단 전기로 갈 것"</t>
        </is>
      </c>
      <c r="G544" s="2">
        <f>HYPERLINK("http://www.newsis.com/view/?id=NISX20210521_0001449271&amp;cID=10101&amp;pID=10100", "Go to Website")</f>
        <v/>
      </c>
      <c r="H544" t="inlineStr"/>
      <c r="I544" t="inlineStr">
        <is>
          <t>C31</t>
        </is>
      </c>
      <c r="J544" s="3" t="n">
        <v>0.8080000000000001</v>
      </c>
      <c r="K544" t="inlineStr">
        <is>
          <t>기타 운송장비 제조업</t>
        </is>
      </c>
      <c r="L544" t="inlineStr"/>
      <c r="M544" t="inlineStr"/>
      <c r="N544" t="inlineStr"/>
    </row>
    <row r="545">
      <c r="A545" s="1" t="inlineStr">
        <is>
          <t>2021-05-21</t>
        </is>
      </c>
      <c r="B545" t="inlineStr">
        <is>
          <t>news</t>
        </is>
      </c>
      <c r="C545" t="inlineStr">
        <is>
          <t>economy</t>
        </is>
      </c>
      <c r="D545" t="inlineStr">
        <is>
          <t>데일리안</t>
        </is>
      </c>
      <c r="E545" t="inlineStr">
        <is>
          <t>백서원</t>
        </is>
      </c>
      <c r="F545" t="inlineStr">
        <is>
          <t>키움자산운용 차세대 모빌리티 펀드, 설정액 1000억 돌파</t>
        </is>
      </c>
      <c r="G545" s="2">
        <f>HYPERLINK("https://www.dailian.co.kr/news/view/993649/", "Go to Website")</f>
        <v/>
      </c>
      <c r="H545" t="inlineStr"/>
      <c r="I545" t="inlineStr">
        <is>
          <t>K64</t>
        </is>
      </c>
      <c r="J545" s="3" t="n">
        <v>0.999</v>
      </c>
      <c r="K545" t="inlineStr">
        <is>
          <t>금융업</t>
        </is>
      </c>
      <c r="L545" t="inlineStr"/>
      <c r="M545" t="inlineStr"/>
      <c r="N545" t="inlineStr"/>
    </row>
    <row r="546">
      <c r="A546" s="1" t="inlineStr">
        <is>
          <t>2021-05-21</t>
        </is>
      </c>
      <c r="B546" t="inlineStr">
        <is>
          <t>news</t>
        </is>
      </c>
      <c r="C546" t="inlineStr">
        <is>
          <t>economy</t>
        </is>
      </c>
      <c r="D546" t="inlineStr">
        <is>
          <t>헤럴드경제</t>
        </is>
      </c>
      <c r="E546" t="inlineStr"/>
      <c r="F546" t="inlineStr">
        <is>
          <t>국내 ETF 순자산총액 60조원 넘었다</t>
        </is>
      </c>
      <c r="G546" s="2">
        <f>HYPERLINK("http://news.heraldcorp.com/view.php?ud=20210521000721", "Go to Website")</f>
        <v/>
      </c>
      <c r="H546" t="inlineStr"/>
      <c r="I546" t="inlineStr">
        <is>
          <t>K64</t>
        </is>
      </c>
      <c r="J546" s="3" t="n">
        <v>0.767</v>
      </c>
      <c r="K546" t="inlineStr">
        <is>
          <t>금융업</t>
        </is>
      </c>
      <c r="L546" t="inlineStr"/>
      <c r="M546" t="inlineStr"/>
      <c r="N546" t="inlineStr"/>
    </row>
    <row r="547">
      <c r="A547" s="1" t="inlineStr">
        <is>
          <t>2021-05-21</t>
        </is>
      </c>
      <c r="B547" t="inlineStr">
        <is>
          <t>news</t>
        </is>
      </c>
      <c r="C547" t="inlineStr">
        <is>
          <t>economy</t>
        </is>
      </c>
      <c r="D547" t="inlineStr">
        <is>
          <t>데일리안</t>
        </is>
      </c>
      <c r="E547" t="inlineStr">
        <is>
          <t>김민석</t>
        </is>
      </c>
      <c r="F547" t="inlineStr">
        <is>
          <t>머스크 "러시아에 전기차 공장 설립 검토 중"</t>
        </is>
      </c>
      <c r="G547" s="2">
        <f>HYPERLINK("https://www.dailian.co.kr/news/view/993650/", "Go to Website")</f>
        <v/>
      </c>
      <c r="H547" t="inlineStr"/>
      <c r="I547" t="inlineStr">
        <is>
          <t>C31</t>
        </is>
      </c>
      <c r="J547" s="3" t="n">
        <v>0.997</v>
      </c>
      <c r="K547" t="inlineStr">
        <is>
          <t>기타 운송장비 제조업</t>
        </is>
      </c>
      <c r="L547" t="inlineStr"/>
      <c r="M547" t="inlineStr"/>
      <c r="N547" t="inlineStr"/>
    </row>
    <row r="548">
      <c r="A548" s="1" t="inlineStr">
        <is>
          <t>2021-05-21</t>
        </is>
      </c>
      <c r="B548" t="inlineStr">
        <is>
          <t>news</t>
        </is>
      </c>
      <c r="C548" t="inlineStr">
        <is>
          <t>economy</t>
        </is>
      </c>
      <c r="D548" t="inlineStr">
        <is>
          <t>데일리안</t>
        </is>
      </c>
      <c r="E548" t="inlineStr">
        <is>
          <t>백서원</t>
        </is>
      </c>
      <c r="F548" t="inlineStr">
        <is>
          <t>거래소 “국내 상장 ETF 순자산총액 60조 돌파”</t>
        </is>
      </c>
      <c r="G548" s="2">
        <f>HYPERLINK("https://www.dailian.co.kr/news/view/993642/", "Go to Website")</f>
        <v/>
      </c>
      <c r="H548" t="inlineStr"/>
      <c r="I548" t="inlineStr">
        <is>
          <t>K64</t>
        </is>
      </c>
      <c r="J548" s="3" t="n">
        <v>0.988</v>
      </c>
      <c r="K548" t="inlineStr">
        <is>
          <t>금융업</t>
        </is>
      </c>
      <c r="L548" t="inlineStr"/>
      <c r="M548" t="inlineStr"/>
      <c r="N548" t="inlineStr"/>
    </row>
    <row r="549">
      <c r="A549" s="1" t="inlineStr">
        <is>
          <t>2021-05-21</t>
        </is>
      </c>
      <c r="B549" t="inlineStr">
        <is>
          <t>news</t>
        </is>
      </c>
      <c r="C549" t="inlineStr">
        <is>
          <t>economy</t>
        </is>
      </c>
      <c r="D549" t="inlineStr">
        <is>
          <t>SBS Biz</t>
        </is>
      </c>
      <c r="E549" t="inlineStr">
        <is>
          <t>김정연</t>
        </is>
      </c>
      <c r="F549" t="inlineStr">
        <is>
          <t>정상회담 앞두고 SK-포드 6조원 규모 맞손…美상무부는 삼성 불렀다</t>
        </is>
      </c>
      <c r="G549" s="2">
        <f>HYPERLINK("https://biz.sbs.co.kr/article_hub/20000016338", "Go to Website")</f>
        <v/>
      </c>
      <c r="H549" t="inlineStr"/>
      <c r="I549" t="inlineStr">
        <is>
          <t>K64</t>
        </is>
      </c>
      <c r="J549" s="3" t="n">
        <v>0.549</v>
      </c>
      <c r="K549" t="inlineStr">
        <is>
          <t>금융업</t>
        </is>
      </c>
      <c r="L549" t="inlineStr">
        <is>
          <t>0</t>
        </is>
      </c>
      <c r="M549" s="3" t="n">
        <v>0.513</v>
      </c>
      <c r="N549" t="inlineStr">
        <is>
          <t>중립</t>
        </is>
      </c>
    </row>
    <row r="550">
      <c r="A550" s="1" t="inlineStr">
        <is>
          <t>2021-05-21</t>
        </is>
      </c>
      <c r="B550" t="inlineStr">
        <is>
          <t>news</t>
        </is>
      </c>
      <c r="C550" t="inlineStr">
        <is>
          <t>economy</t>
        </is>
      </c>
      <c r="D550" t="inlineStr">
        <is>
          <t>한국경제TV</t>
        </is>
      </c>
      <c r="E550" t="inlineStr"/>
      <c r="F550" t="inlineStr">
        <is>
          <t>&lt;트레이딩핫타임&gt; 한미정상회담 핵심 의제로 보는 진짜 수혜주! 최선호 섹터는 `자동차`</t>
        </is>
      </c>
      <c r="G550" s="2">
        <f>HYPERLINK("https://www.wowtv.co.kr/NewsCenter/News/Read?articleId=A202105210268&amp;t=NNv", "Go to Website")</f>
        <v/>
      </c>
      <c r="H550" t="inlineStr"/>
      <c r="I550" t="inlineStr">
        <is>
          <t>K64</t>
        </is>
      </c>
      <c r="J550" s="3" t="n">
        <v>0.539</v>
      </c>
      <c r="K550" t="inlineStr">
        <is>
          <t>금융업</t>
        </is>
      </c>
      <c r="L550" t="inlineStr"/>
      <c r="M550" t="inlineStr"/>
      <c r="N550" t="inlineStr"/>
    </row>
    <row r="551">
      <c r="A551" s="1" t="inlineStr">
        <is>
          <t>2021-05-21</t>
        </is>
      </c>
      <c r="B551" t="inlineStr">
        <is>
          <t>news</t>
        </is>
      </c>
      <c r="C551" t="inlineStr">
        <is>
          <t>economy</t>
        </is>
      </c>
      <c r="D551" t="inlineStr">
        <is>
          <t>조선비즈</t>
        </is>
      </c>
      <c r="E551" t="inlineStr">
        <is>
          <t>노자운</t>
        </is>
      </c>
      <c r="F551" t="inlineStr">
        <is>
          <t>국내 ETF 시장 규모, 60조원 넘었다</t>
        </is>
      </c>
      <c r="G551" s="2">
        <f>HYPERLINK("https://biz.chosun.com/stock/stock_general/2021/05/21/Y4PEYBHP2RE5FHLHHHSY7NVKS4/?utm_medium=original&amp;utm_campaign=biz", "Go to Website")</f>
        <v/>
      </c>
      <c r="H551" t="inlineStr"/>
      <c r="I551" t="inlineStr">
        <is>
          <t>K64</t>
        </is>
      </c>
      <c r="J551" s="3" t="n">
        <v>1</v>
      </c>
      <c r="K551" t="inlineStr">
        <is>
          <t>금융업</t>
        </is>
      </c>
      <c r="L551" t="inlineStr"/>
      <c r="M551" t="inlineStr"/>
      <c r="N551" t="inlineStr"/>
    </row>
    <row r="552">
      <c r="A552" s="1" t="inlineStr">
        <is>
          <t>2021-05-21</t>
        </is>
      </c>
      <c r="B552" t="inlineStr">
        <is>
          <t>news</t>
        </is>
      </c>
      <c r="C552" t="inlineStr">
        <is>
          <t>economy</t>
        </is>
      </c>
      <c r="D552" t="inlineStr">
        <is>
          <t>국민일보</t>
        </is>
      </c>
      <c r="E552" t="inlineStr">
        <is>
          <t>박구인</t>
        </is>
      </c>
      <c r="F552" t="inlineStr">
        <is>
          <t>“모든 교통수단이 전기로 움직여” 미래 전망한 머스크</t>
        </is>
      </c>
      <c r="G552" s="2">
        <f>HYPERLINK("http://news.kmib.co.kr/article/view.asp?arcid=0015869599&amp;code=61141111", "Go to Website")</f>
        <v/>
      </c>
      <c r="H552" t="inlineStr"/>
      <c r="I552" t="inlineStr">
        <is>
          <t>J61</t>
        </is>
      </c>
      <c r="J552" s="3" t="n">
        <v>0.459</v>
      </c>
      <c r="K552" t="inlineStr">
        <is>
          <t>우편 및 통신업</t>
        </is>
      </c>
      <c r="L552" t="inlineStr"/>
      <c r="M552" t="inlineStr"/>
      <c r="N552" t="inlineStr"/>
    </row>
    <row r="553">
      <c r="A553" s="1" t="inlineStr">
        <is>
          <t>2021-05-21</t>
        </is>
      </c>
      <c r="B553" t="inlineStr">
        <is>
          <t>news</t>
        </is>
      </c>
      <c r="C553" t="inlineStr">
        <is>
          <t>economy</t>
        </is>
      </c>
      <c r="D553" t="inlineStr">
        <is>
          <t>이데일리</t>
        </is>
      </c>
      <c r="E553" t="inlineStr">
        <is>
          <t>이은정</t>
        </is>
      </c>
      <c r="F553" t="inlineStr">
        <is>
          <t>다양해진 상품에 ETF 순자산총액 60조원 '돌파'</t>
        </is>
      </c>
      <c r="G553" s="2">
        <f>HYPERLINK("http://www.edaily.co.kr/news/newspath.asp?newsid=02817526629051216", "Go to Website")</f>
        <v/>
      </c>
      <c r="H553" t="inlineStr"/>
      <c r="I553" t="inlineStr">
        <is>
          <t>K64</t>
        </is>
      </c>
      <c r="J553" s="3" t="n">
        <v>0.926</v>
      </c>
      <c r="K553" t="inlineStr">
        <is>
          <t>금융업</t>
        </is>
      </c>
      <c r="L553" t="inlineStr"/>
      <c r="M553" t="inlineStr"/>
      <c r="N553" t="inlineStr"/>
    </row>
    <row r="554">
      <c r="A554" s="1" t="inlineStr">
        <is>
          <t>2021-05-21</t>
        </is>
      </c>
      <c r="B554" t="inlineStr">
        <is>
          <t>news</t>
        </is>
      </c>
      <c r="C554" t="inlineStr">
        <is>
          <t>economy</t>
        </is>
      </c>
      <c r="D554" t="inlineStr">
        <is>
          <t>연합뉴스</t>
        </is>
      </c>
      <c r="E554" t="inlineStr">
        <is>
          <t>박진형</t>
        </is>
      </c>
      <c r="F554" t="inlineStr">
        <is>
          <t>국내 상장 ETF 순자산총액, 60조원 첫 돌파</t>
        </is>
      </c>
      <c r="G554" s="2">
        <f>HYPERLINK("http://yna.kr/AKR20210521143000002?did=1195m", "Go to Website")</f>
        <v/>
      </c>
      <c r="H554" t="inlineStr"/>
      <c r="I554" t="inlineStr">
        <is>
          <t>K64</t>
        </is>
      </c>
      <c r="J554" s="3" t="n">
        <v>0.927</v>
      </c>
      <c r="K554" t="inlineStr">
        <is>
          <t>금융업</t>
        </is>
      </c>
      <c r="L554" t="inlineStr"/>
      <c r="M554" t="inlineStr"/>
      <c r="N554" t="inlineStr"/>
    </row>
    <row r="555">
      <c r="A555" s="1" t="inlineStr">
        <is>
          <t>2021-05-21</t>
        </is>
      </c>
      <c r="B555" t="inlineStr">
        <is>
          <t>news</t>
        </is>
      </c>
      <c r="C555" t="inlineStr">
        <is>
          <t>economy</t>
        </is>
      </c>
      <c r="D555" t="inlineStr">
        <is>
          <t>연합뉴스TV</t>
        </is>
      </c>
      <c r="E555" t="inlineStr">
        <is>
          <t>나경렬</t>
        </is>
      </c>
      <c r="F555" t="inlineStr">
        <is>
          <t>"2040년 전국 2시간 생활권…친환경차 1천만대"</t>
        </is>
      </c>
      <c r="G555" s="2">
        <f>HYPERLINK("http://www.yonhapnewstv.co.kr/MYH20210521018400641/?did=1825m", "Go to Website")</f>
        <v/>
      </c>
      <c r="H555" t="inlineStr"/>
      <c r="I555" t="inlineStr">
        <is>
          <t>100</t>
        </is>
      </c>
      <c r="J555" s="3" t="n">
        <v>0.609</v>
      </c>
      <c r="K555" t="inlineStr">
        <is>
          <t>분류 제외, 기타</t>
        </is>
      </c>
      <c r="L555" t="inlineStr">
        <is>
          <t>0</t>
        </is>
      </c>
      <c r="M555" s="3" t="n">
        <v>0.976</v>
      </c>
      <c r="N555" t="inlineStr">
        <is>
          <t>중립</t>
        </is>
      </c>
    </row>
    <row r="556">
      <c r="A556" s="1" t="inlineStr">
        <is>
          <t>2021-05-21</t>
        </is>
      </c>
      <c r="B556" t="inlineStr">
        <is>
          <t>news</t>
        </is>
      </c>
      <c r="C556" t="inlineStr">
        <is>
          <t>economy</t>
        </is>
      </c>
      <c r="D556" t="inlineStr">
        <is>
          <t>국민일보</t>
        </is>
      </c>
      <c r="E556" t="inlineStr">
        <is>
          <t>정진영</t>
        </is>
      </c>
      <c r="F556" t="inlineStr">
        <is>
          <t>반도체 수급난에 현대차 아산공장 또 ‘스톱’…쏘나타·그랜저 생산 중단</t>
        </is>
      </c>
      <c r="G556" s="2">
        <f>HYPERLINK("http://news.kmib.co.kr/article/view.asp?arcid=0015869594&amp;code=61141111", "Go to Website")</f>
        <v/>
      </c>
      <c r="H556" t="inlineStr"/>
      <c r="I556" t="inlineStr">
        <is>
          <t>C30</t>
        </is>
      </c>
      <c r="J556" s="3" t="n">
        <v>1</v>
      </c>
      <c r="K556" t="inlineStr">
        <is>
          <t>자동차 및 트레일러 제조업</t>
        </is>
      </c>
      <c r="L556" t="inlineStr">
        <is>
          <t>-1</t>
        </is>
      </c>
      <c r="M556" s="3" t="n">
        <v>0.991</v>
      </c>
      <c r="N556" t="inlineStr">
        <is>
          <t>부정</t>
        </is>
      </c>
    </row>
    <row r="557">
      <c r="A557" s="1" t="inlineStr">
        <is>
          <t>2021-05-21</t>
        </is>
      </c>
      <c r="B557" t="inlineStr">
        <is>
          <t>news</t>
        </is>
      </c>
      <c r="C557" t="inlineStr">
        <is>
          <t>economy</t>
        </is>
      </c>
      <c r="D557" t="inlineStr">
        <is>
          <t>서울경제</t>
        </is>
      </c>
      <c r="E557" t="inlineStr">
        <is>
          <t>이혜진</t>
        </is>
      </c>
      <c r="F557" t="inlineStr">
        <is>
          <t>[ETF줌인] 항서제약·CATL·융기실리콘···중국 신경제 300개 대표 종목에 투자</t>
        </is>
      </c>
      <c r="G557" s="2">
        <f>HYPERLINK("https://www.sedaily.com/NewsView/22MG3ZH88Z", "Go to Website")</f>
        <v/>
      </c>
      <c r="H557" t="inlineStr"/>
      <c r="I557" t="inlineStr">
        <is>
          <t>K64</t>
        </is>
      </c>
      <c r="J557" s="3" t="n">
        <v>0.99</v>
      </c>
      <c r="K557" t="inlineStr">
        <is>
          <t>금융업</t>
        </is>
      </c>
      <c r="L557" t="inlineStr"/>
      <c r="M557" t="inlineStr"/>
      <c r="N557" t="inlineStr"/>
    </row>
    <row r="558">
      <c r="A558" s="1" t="inlineStr">
        <is>
          <t>2021-05-21</t>
        </is>
      </c>
      <c r="B558" t="inlineStr">
        <is>
          <t>news</t>
        </is>
      </c>
      <c r="C558" t="inlineStr">
        <is>
          <t>economy</t>
        </is>
      </c>
      <c r="D558" t="inlineStr">
        <is>
          <t>한국경제</t>
        </is>
      </c>
      <c r="E558" t="inlineStr">
        <is>
          <t>차준호</t>
        </is>
      </c>
      <c r="F558" t="inlineStr">
        <is>
          <t>'옛 주인' 한라, 한온시스템 인수전 뛰어든다</t>
        </is>
      </c>
      <c r="G558" s="2">
        <f>HYPERLINK("https://www.hankyung.com/economy/article/2021052168411", "Go to Website")</f>
        <v/>
      </c>
      <c r="H558" t="inlineStr"/>
      <c r="I558" t="inlineStr">
        <is>
          <t>C29</t>
        </is>
      </c>
      <c r="J558" s="3" t="n">
        <v>0.992</v>
      </c>
      <c r="K558" t="inlineStr">
        <is>
          <t>기타 기계 및 장비 제조업</t>
        </is>
      </c>
      <c r="L558" t="inlineStr"/>
      <c r="M558" t="inlineStr"/>
      <c r="N558" t="inlineStr"/>
    </row>
    <row r="559">
      <c r="A559" s="1" t="inlineStr">
        <is>
          <t>2021-05-21</t>
        </is>
      </c>
      <c r="B559" t="inlineStr">
        <is>
          <t>news</t>
        </is>
      </c>
      <c r="C559" t="inlineStr">
        <is>
          <t>economy</t>
        </is>
      </c>
      <c r="D559" t="inlineStr">
        <is>
          <t>뉴시스</t>
        </is>
      </c>
      <c r="E559" t="inlineStr">
        <is>
          <t>김제이</t>
        </is>
      </c>
      <c r="F559" t="inlineStr">
        <is>
          <t>ETF시장 순자산총액 60조원 돌파…19년 만에 174배↑</t>
        </is>
      </c>
      <c r="G559" s="2">
        <f>HYPERLINK("http://www.newsis.com/view/?id=NISX20210521_0001449247&amp;cID=10401&amp;pID=10400", "Go to Website")</f>
        <v/>
      </c>
      <c r="H559" t="inlineStr"/>
      <c r="I559" t="inlineStr">
        <is>
          <t>K64</t>
        </is>
      </c>
      <c r="J559" s="3" t="n">
        <v>0.974</v>
      </c>
      <c r="K559" t="inlineStr">
        <is>
          <t>금융업</t>
        </is>
      </c>
      <c r="L559" t="inlineStr"/>
      <c r="M559" t="inlineStr"/>
      <c r="N559" t="inlineStr"/>
    </row>
    <row r="560">
      <c r="A560" s="1" t="inlineStr">
        <is>
          <t>2021-05-21</t>
        </is>
      </c>
      <c r="B560" t="inlineStr">
        <is>
          <t>news</t>
        </is>
      </c>
      <c r="C560" t="inlineStr">
        <is>
          <t>economy</t>
        </is>
      </c>
      <c r="D560" t="inlineStr">
        <is>
          <t>연합뉴스</t>
        </is>
      </c>
      <c r="E560" t="inlineStr">
        <is>
          <t>홍준석</t>
        </is>
      </c>
      <c r="F560" t="inlineStr">
        <is>
          <t>머스크 "러시아에 전기차 생산공장 설립 검토"</t>
        </is>
      </c>
      <c r="G560" s="2">
        <f>HYPERLINK("http://yna.kr/AKR20210521138200009?did=1195m", "Go to Website")</f>
        <v/>
      </c>
      <c r="H560" t="inlineStr"/>
      <c r="I560" t="inlineStr">
        <is>
          <t>K64</t>
        </is>
      </c>
      <c r="J560" s="3" t="n">
        <v>0.466</v>
      </c>
      <c r="K560" t="inlineStr">
        <is>
          <t>금융업</t>
        </is>
      </c>
      <c r="L560" t="inlineStr"/>
      <c r="M560" t="inlineStr"/>
      <c r="N560" t="inlineStr"/>
    </row>
    <row r="561">
      <c r="A561" s="1" t="inlineStr">
        <is>
          <t>2021-05-21</t>
        </is>
      </c>
      <c r="B561" t="inlineStr">
        <is>
          <t>news</t>
        </is>
      </c>
      <c r="C561" t="inlineStr">
        <is>
          <t>economy</t>
        </is>
      </c>
      <c r="D561" t="inlineStr">
        <is>
          <t>한국경제TV</t>
        </is>
      </c>
      <c r="E561" t="inlineStr">
        <is>
          <t>유오성</t>
        </is>
      </c>
      <c r="F561" t="inlineStr">
        <is>
          <t>자비스, 검사장비부문 본격 성장 나선다</t>
        </is>
      </c>
      <c r="G561" s="2">
        <f>HYPERLINK("https://www.wowtv.co.kr/NewsCenter/News/Read?articleId=A202105200056&amp;t=NNv", "Go to Website")</f>
        <v/>
      </c>
      <c r="H561" t="inlineStr"/>
      <c r="I561" t="inlineStr">
        <is>
          <t>C27</t>
        </is>
      </c>
      <c r="J561" s="3" t="n">
        <v>0.981</v>
      </c>
      <c r="K561" t="inlineStr">
        <is>
          <t>의료, 정밀, 광학 기기 및 시계 제조업</t>
        </is>
      </c>
      <c r="L561" t="inlineStr"/>
      <c r="M561" t="inlineStr"/>
      <c r="N561" t="inlineStr"/>
    </row>
    <row r="562">
      <c r="A562" s="1" t="inlineStr">
        <is>
          <t>2021-05-21</t>
        </is>
      </c>
      <c r="B562" t="inlineStr">
        <is>
          <t>news</t>
        </is>
      </c>
      <c r="C562" t="inlineStr">
        <is>
          <t>economy</t>
        </is>
      </c>
      <c r="D562" t="inlineStr">
        <is>
          <t>서울경제</t>
        </is>
      </c>
      <c r="E562" t="inlineStr">
        <is>
          <t>전희윤</t>
        </is>
      </c>
      <c r="F562" t="inlineStr">
        <is>
          <t>LG, 차세대 전기차 ‘제어장치’ 개발 본격화...전장사업 ‘업그레이드’</t>
        </is>
      </c>
      <c r="G562" s="2">
        <f>HYPERLINK("https://www.sedaily.com/NewsView/22MG43LJWN", "Go to Website")</f>
        <v/>
      </c>
      <c r="H562" t="inlineStr"/>
      <c r="I562" t="inlineStr">
        <is>
          <t>C26</t>
        </is>
      </c>
      <c r="J562" s="3" t="n">
        <v>0.998</v>
      </c>
      <c r="K562" t="inlineStr">
        <is>
          <t>전자 부품, 컴퓨터, 영상, 음향 및 통신장비 제조업</t>
        </is>
      </c>
      <c r="L562" t="inlineStr">
        <is>
          <t>1</t>
        </is>
      </c>
      <c r="M562" s="3" t="n">
        <v>0.994</v>
      </c>
      <c r="N562" t="inlineStr">
        <is>
          <t>긍정</t>
        </is>
      </c>
    </row>
    <row r="563">
      <c r="A563" s="1" t="inlineStr">
        <is>
          <t>2021-05-21</t>
        </is>
      </c>
      <c r="B563" t="inlineStr">
        <is>
          <t>news</t>
        </is>
      </c>
      <c r="C563" t="inlineStr">
        <is>
          <t>economy</t>
        </is>
      </c>
      <c r="D563" t="inlineStr">
        <is>
          <t>연합뉴스TV</t>
        </is>
      </c>
      <c r="E563" t="inlineStr">
        <is>
          <t>한지이</t>
        </is>
      </c>
      <c r="F563" t="inlineStr">
        <is>
          <t>[CEO풍향계] 'AI개발 속도' 구광모…'미국투자 승부수' 정의선</t>
        </is>
      </c>
      <c r="G563" s="2">
        <f>HYPERLINK("http://www.yonhapnewstv.co.kr/MYH20210521017600038/?did=1825m", "Go to Website")</f>
        <v/>
      </c>
      <c r="H563" t="inlineStr"/>
      <c r="I563" t="inlineStr">
        <is>
          <t>100</t>
        </is>
      </c>
      <c r="J563" s="3" t="n">
        <v>0.996</v>
      </c>
      <c r="K563" t="inlineStr">
        <is>
          <t>분류 제외, 기타</t>
        </is>
      </c>
      <c r="L563" t="inlineStr"/>
      <c r="M563" t="inlineStr"/>
      <c r="N563" t="inlineStr"/>
    </row>
    <row r="564">
      <c r="A564" s="1" t="inlineStr">
        <is>
          <t>2021-05-21</t>
        </is>
      </c>
      <c r="B564" t="inlineStr">
        <is>
          <t>news</t>
        </is>
      </c>
      <c r="C564" t="inlineStr">
        <is>
          <t>economy</t>
        </is>
      </c>
      <c r="D564" t="inlineStr">
        <is>
          <t>뉴시스</t>
        </is>
      </c>
      <c r="E564" t="inlineStr">
        <is>
          <t>박주연</t>
        </is>
      </c>
      <c r="F564" t="inlineStr">
        <is>
          <t>현대차 사무직노조, 정의선 회장에 상견례 요청(종합)</t>
        </is>
      </c>
      <c r="G564" s="2">
        <f>HYPERLINK("http://www.newsis.com/view/?id=NISX20210521_0001449083&amp;cID=13001&amp;pID=13000", "Go to Website")</f>
        <v/>
      </c>
      <c r="H564" t="inlineStr"/>
      <c r="I564" t="inlineStr">
        <is>
          <t>C30</t>
        </is>
      </c>
      <c r="J564" s="3" t="n">
        <v>1</v>
      </c>
      <c r="K564" t="inlineStr">
        <is>
          <t>자동차 및 트레일러 제조업</t>
        </is>
      </c>
      <c r="L564" t="inlineStr">
        <is>
          <t>-1</t>
        </is>
      </c>
      <c r="M564" s="3" t="n">
        <v>0.773</v>
      </c>
      <c r="N564" t="inlineStr">
        <is>
          <t>부정</t>
        </is>
      </c>
    </row>
    <row r="565">
      <c r="A565" s="1" t="inlineStr">
        <is>
          <t>2021-05-21</t>
        </is>
      </c>
      <c r="B565" t="inlineStr">
        <is>
          <t>news</t>
        </is>
      </c>
      <c r="C565" t="inlineStr">
        <is>
          <t>economy</t>
        </is>
      </c>
      <c r="D565" t="inlineStr">
        <is>
          <t>매일경제</t>
        </is>
      </c>
      <c r="E565" t="inlineStr">
        <is>
          <t>원호섭</t>
        </is>
      </c>
      <c r="F565" t="inlineStr">
        <is>
          <t>배터리-車 합종연횡 속…삼성SDI 독자노선 눈에띄네</t>
        </is>
      </c>
      <c r="G565" s="2">
        <f>HYPERLINK("http://news.mk.co.kr/newsRead.php?no=491812&amp;year=2021", "Go to Website")</f>
        <v/>
      </c>
      <c r="H565" t="inlineStr"/>
      <c r="I565" t="inlineStr">
        <is>
          <t>C28</t>
        </is>
      </c>
      <c r="J565" s="3" t="n">
        <v>1</v>
      </c>
      <c r="K565" t="inlineStr">
        <is>
          <t>전기장비 제조업</t>
        </is>
      </c>
      <c r="L565" t="inlineStr">
        <is>
          <t>0</t>
        </is>
      </c>
      <c r="M565" s="3" t="n">
        <v>0.633</v>
      </c>
      <c r="N565" t="inlineStr">
        <is>
          <t>중립</t>
        </is>
      </c>
    </row>
    <row r="566">
      <c r="A566" s="1" t="inlineStr">
        <is>
          <t>2021-05-21</t>
        </is>
      </c>
      <c r="B566" t="inlineStr">
        <is>
          <t>news</t>
        </is>
      </c>
      <c r="C566" t="inlineStr">
        <is>
          <t>tech</t>
        </is>
      </c>
      <c r="D566" t="inlineStr">
        <is>
          <t>ZDNet Korea</t>
        </is>
      </c>
      <c r="E566" t="inlineStr">
        <is>
          <t>안희정</t>
        </is>
      </c>
      <c r="F566" t="inlineStr">
        <is>
          <t>아이마켓코리아, 시그넷이브이와전기차 충전 사업 맞손</t>
        </is>
      </c>
      <c r="G566" s="2">
        <f>HYPERLINK("https://zdnet.co.kr/view/?no=20210521170343", "Go to Website")</f>
        <v/>
      </c>
      <c r="H566" t="inlineStr"/>
      <c r="I566" t="inlineStr"/>
      <c r="J566" t="inlineStr"/>
      <c r="K566" t="inlineStr"/>
      <c r="L566" t="inlineStr"/>
      <c r="M566" t="inlineStr"/>
      <c r="N566" t="inlineStr"/>
    </row>
    <row r="567">
      <c r="A567" s="1" t="inlineStr">
        <is>
          <t>2021-05-21</t>
        </is>
      </c>
      <c r="B567" t="inlineStr">
        <is>
          <t>news</t>
        </is>
      </c>
      <c r="C567" t="inlineStr">
        <is>
          <t>economy</t>
        </is>
      </c>
      <c r="D567" t="inlineStr">
        <is>
          <t>한국일보</t>
        </is>
      </c>
      <c r="E567" t="inlineStr">
        <is>
          <t>강진구</t>
        </is>
      </c>
      <c r="F567" t="inlineStr">
        <is>
          <t>2040년 전기·수소차 1000만 대 시대...신차 80%는 자율주행차</t>
        </is>
      </c>
      <c r="G567" s="2">
        <f>HYPERLINK("https://hankookilbo.com/News/Read/A2021052110000001628?did=NA", "Go to Website")</f>
        <v/>
      </c>
      <c r="H567" t="inlineStr"/>
      <c r="I567" t="inlineStr">
        <is>
          <t>100</t>
        </is>
      </c>
      <c r="J567" s="3" t="n">
        <v>0.827</v>
      </c>
      <c r="K567" t="inlineStr">
        <is>
          <t>분류 제외, 기타</t>
        </is>
      </c>
      <c r="L567" t="inlineStr"/>
      <c r="M567" t="inlineStr"/>
      <c r="N567" t="inlineStr"/>
    </row>
    <row r="568">
      <c r="A568" s="1" t="inlineStr">
        <is>
          <t>2021-05-21</t>
        </is>
      </c>
      <c r="B568" t="inlineStr">
        <is>
          <t>news</t>
        </is>
      </c>
      <c r="C568" t="inlineStr">
        <is>
          <t>economy</t>
        </is>
      </c>
      <c r="D568" t="inlineStr">
        <is>
          <t>파이낸셜뉴스</t>
        </is>
      </c>
      <c r="E568" t="inlineStr">
        <is>
          <t>윤재준</t>
        </is>
      </c>
      <c r="F568" t="inlineStr">
        <is>
          <t>美 상무장관, 자동차 업계 반도체 우선 제공 없어</t>
        </is>
      </c>
      <c r="G568" s="2">
        <f>HYPERLINK("http://www.fnnews.com/news/202105211621101778", "Go to Website")</f>
        <v/>
      </c>
      <c r="H568" t="inlineStr"/>
      <c r="I568" t="inlineStr">
        <is>
          <t>C30</t>
        </is>
      </c>
      <c r="J568" s="3" t="n">
        <v>0.619</v>
      </c>
      <c r="K568" t="inlineStr">
        <is>
          <t>자동차 및 트레일러 제조업</t>
        </is>
      </c>
      <c r="L568" t="inlineStr">
        <is>
          <t>0</t>
        </is>
      </c>
      <c r="M568" s="3" t="n">
        <v>0.961</v>
      </c>
      <c r="N568" t="inlineStr">
        <is>
          <t>중립</t>
        </is>
      </c>
    </row>
    <row r="569">
      <c r="A569" s="1" t="inlineStr">
        <is>
          <t>2021-05-21</t>
        </is>
      </c>
      <c r="B569" t="inlineStr">
        <is>
          <t>news</t>
        </is>
      </c>
      <c r="C569" t="inlineStr">
        <is>
          <t>economy</t>
        </is>
      </c>
      <c r="D569" t="inlineStr">
        <is>
          <t>동아일보</t>
        </is>
      </c>
      <c r="E569" t="inlineStr">
        <is>
          <t>조종엽</t>
        </is>
      </c>
      <c r="F569" t="inlineStr">
        <is>
          <t>도지코인 1달러 간다?…머스크 장난스러운 트윗에 “닥쳐라” 비판도</t>
        </is>
      </c>
      <c r="G569" s="2">
        <f>HYPERLINK("https://www.donga.com/news/article/all/20210521/107050964/1", "Go to Website")</f>
        <v/>
      </c>
      <c r="H569" t="inlineStr"/>
      <c r="I569" t="inlineStr">
        <is>
          <t>100</t>
        </is>
      </c>
      <c r="J569" s="3" t="n">
        <v>0.477</v>
      </c>
      <c r="K569" t="inlineStr">
        <is>
          <t>분류 제외, 기타</t>
        </is>
      </c>
      <c r="L569" t="inlineStr"/>
      <c r="M569" t="inlineStr"/>
      <c r="N569" t="inlineStr"/>
    </row>
    <row r="570">
      <c r="A570" s="1" t="inlineStr">
        <is>
          <t>2021-05-21</t>
        </is>
      </c>
      <c r="B570" t="inlineStr">
        <is>
          <t>news</t>
        </is>
      </c>
      <c r="C570" t="inlineStr">
        <is>
          <t>economy</t>
        </is>
      </c>
      <c r="D570" t="inlineStr">
        <is>
          <t>이코노미스트</t>
        </is>
      </c>
      <c r="E570" t="inlineStr"/>
      <c r="F570" t="inlineStr">
        <is>
          <t>[증시 이슈] 지난달 유럽 판매 급증한 현대차·기아, 주가도 ‘상승’</t>
        </is>
      </c>
      <c r="G570" s="2">
        <f>HYPERLINK("https://economist.co.kr/2021/05/21/stock/stockNormal/20210521161900212.html", "Go to Website")</f>
        <v/>
      </c>
      <c r="H570" t="inlineStr"/>
      <c r="I570" t="inlineStr">
        <is>
          <t>C30</t>
        </is>
      </c>
      <c r="J570" s="3" t="n">
        <v>1</v>
      </c>
      <c r="K570" t="inlineStr">
        <is>
          <t>자동차 및 트레일러 제조업</t>
        </is>
      </c>
      <c r="L570" t="inlineStr"/>
      <c r="M570" t="inlineStr"/>
      <c r="N570" t="inlineStr"/>
    </row>
    <row r="571">
      <c r="A571" s="1" t="inlineStr">
        <is>
          <t>2021-05-21</t>
        </is>
      </c>
      <c r="B571" t="inlineStr">
        <is>
          <t>news</t>
        </is>
      </c>
      <c r="C571" t="inlineStr">
        <is>
          <t>economy</t>
        </is>
      </c>
      <c r="D571" t="inlineStr">
        <is>
          <t>머니투데이</t>
        </is>
      </c>
      <c r="E571" t="inlineStr">
        <is>
          <t>주명호</t>
        </is>
      </c>
      <c r="F571" t="inlineStr">
        <is>
          <t>주행거리가 '300km 초반'…전기차 출시 앞둔 쌍용차의 속사정</t>
        </is>
      </c>
      <c r="G571" s="2">
        <f>HYPERLINK("http://news.mt.co.kr/mtview.php?no=2021052115275955862", "Go to Website")</f>
        <v/>
      </c>
      <c r="H571" t="inlineStr"/>
      <c r="I571" t="inlineStr">
        <is>
          <t>C30</t>
        </is>
      </c>
      <c r="J571" s="3" t="n">
        <v>0.987</v>
      </c>
      <c r="K571" t="inlineStr">
        <is>
          <t>자동차 및 트레일러 제조업</t>
        </is>
      </c>
      <c r="L571" t="inlineStr">
        <is>
          <t>1</t>
        </is>
      </c>
      <c r="M571" s="3" t="n">
        <v>0.98</v>
      </c>
      <c r="N571" t="inlineStr">
        <is>
          <t>긍정</t>
        </is>
      </c>
    </row>
    <row r="572">
      <c r="A572" s="1" t="inlineStr">
        <is>
          <t>2021-05-21</t>
        </is>
      </c>
      <c r="B572" t="inlineStr">
        <is>
          <t>news</t>
        </is>
      </c>
      <c r="C572" t="inlineStr">
        <is>
          <t>economy</t>
        </is>
      </c>
      <c r="D572" t="inlineStr">
        <is>
          <t>이데일리</t>
        </is>
      </c>
      <c r="E572" t="inlineStr">
        <is>
          <t>전선형</t>
        </is>
      </c>
      <c r="F572" t="inlineStr">
        <is>
          <t>[웰스투어] “증시 주춤세 일시적...반도체주는 오히려 매수 기회”</t>
        </is>
      </c>
      <c r="G572" s="2">
        <f>HYPERLINK("http://www.edaily.co.kr/news/newspath.asp?newsid=02564966629051216", "Go to Website")</f>
        <v/>
      </c>
      <c r="H572" t="inlineStr"/>
      <c r="I572" t="inlineStr">
        <is>
          <t>K64</t>
        </is>
      </c>
      <c r="J572" s="3" t="n">
        <v>0.48</v>
      </c>
      <c r="K572" t="inlineStr">
        <is>
          <t>금융업</t>
        </is>
      </c>
      <c r="L572" t="inlineStr">
        <is>
          <t>0</t>
        </is>
      </c>
      <c r="M572" s="3" t="n">
        <v>0.505</v>
      </c>
      <c r="N572" t="inlineStr">
        <is>
          <t>중립</t>
        </is>
      </c>
    </row>
    <row r="573">
      <c r="A573" s="1" t="inlineStr">
        <is>
          <t>2021-05-21</t>
        </is>
      </c>
      <c r="B573" t="inlineStr">
        <is>
          <t>news</t>
        </is>
      </c>
      <c r="C573" t="inlineStr">
        <is>
          <t>economy</t>
        </is>
      </c>
      <c r="D573" t="inlineStr">
        <is>
          <t>한국경제</t>
        </is>
      </c>
      <c r="E573" t="inlineStr">
        <is>
          <t>김일규</t>
        </is>
      </c>
      <c r="F573" t="inlineStr">
        <is>
          <t>생산직에 치이고, 연구직에 받히고…샌드위치 된 현대차 [김일규의 네 바퀴]</t>
        </is>
      </c>
      <c r="G573" s="2">
        <f>HYPERLINK("https://www.hankyung.com/economy/article/202105215857i", "Go to Website")</f>
        <v/>
      </c>
      <c r="H573" t="inlineStr"/>
      <c r="I573" t="inlineStr">
        <is>
          <t>C31</t>
        </is>
      </c>
      <c r="J573" s="3" t="n">
        <v>0.462</v>
      </c>
      <c r="K573" t="inlineStr">
        <is>
          <t>기타 운송장비 제조업</t>
        </is>
      </c>
      <c r="L573" t="inlineStr">
        <is>
          <t>0</t>
        </is>
      </c>
      <c r="M573" s="3" t="n">
        <v>0.9399999999999999</v>
      </c>
      <c r="N573" t="inlineStr">
        <is>
          <t>중립</t>
        </is>
      </c>
    </row>
    <row r="574">
      <c r="A574" s="1" t="inlineStr">
        <is>
          <t>2021-05-21</t>
        </is>
      </c>
      <c r="B574" t="inlineStr">
        <is>
          <t>news</t>
        </is>
      </c>
      <c r="C574" t="inlineStr">
        <is>
          <t>economy</t>
        </is>
      </c>
      <c r="D574" t="inlineStr">
        <is>
          <t>매일신문</t>
        </is>
      </c>
      <c r="E574" t="inlineStr">
        <is>
          <t>김윤기</t>
        </is>
      </c>
      <c r="F574" t="inlineStr">
        <is>
          <t>"변해야 산다", 대구기업 미래산업으로 재편 움직임 활발</t>
        </is>
      </c>
      <c r="G574" s="2">
        <f>HYPERLINK("https://news.imaeil.com/Economy/2021052114301384301", "Go to Website")</f>
        <v/>
      </c>
      <c r="H574" t="inlineStr"/>
      <c r="I574" t="inlineStr">
        <is>
          <t>100</t>
        </is>
      </c>
      <c r="J574" s="3" t="n">
        <v>0.655</v>
      </c>
      <c r="K574" t="inlineStr">
        <is>
          <t>분류 제외, 기타</t>
        </is>
      </c>
      <c r="L574" t="inlineStr">
        <is>
          <t>0</t>
        </is>
      </c>
      <c r="M574" s="3" t="n">
        <v>0.996</v>
      </c>
      <c r="N574" t="inlineStr">
        <is>
          <t>중립</t>
        </is>
      </c>
    </row>
    <row r="575">
      <c r="A575" s="1" t="inlineStr">
        <is>
          <t>2021-05-21</t>
        </is>
      </c>
      <c r="B575" t="inlineStr">
        <is>
          <t>news</t>
        </is>
      </c>
      <c r="C575" t="inlineStr">
        <is>
          <t>economy</t>
        </is>
      </c>
      <c r="D575" t="inlineStr">
        <is>
          <t>조선비즈</t>
        </is>
      </c>
      <c r="E575" t="inlineStr">
        <is>
          <t>이윤정</t>
        </is>
      </c>
      <c r="F575" t="inlineStr">
        <is>
          <t>세계시장 노리는 ‘K-배터리’, 中에 대부분 의지하는 원료가 아킬레스건</t>
        </is>
      </c>
      <c r="G575" s="2">
        <f>HYPERLINK("https://biz.chosun.com/industry/company/2021/05/21/534TECOZGJC43C2YZLAMOSXZTU/?utm_medium=original&amp;utm_campaign=biz", "Go to Website")</f>
        <v/>
      </c>
      <c r="H575" t="inlineStr"/>
      <c r="I575" t="inlineStr">
        <is>
          <t>C28</t>
        </is>
      </c>
      <c r="J575" s="3" t="n">
        <v>0.905</v>
      </c>
      <c r="K575" t="inlineStr">
        <is>
          <t>전기장비 제조업</t>
        </is>
      </c>
      <c r="L575" t="inlineStr"/>
      <c r="M575" t="inlineStr"/>
      <c r="N575" t="inlineStr"/>
    </row>
    <row r="576">
      <c r="A576" s="1" t="inlineStr">
        <is>
          <t>2021-05-21</t>
        </is>
      </c>
      <c r="B576" t="inlineStr">
        <is>
          <t>news</t>
        </is>
      </c>
      <c r="C576" t="inlineStr">
        <is>
          <t>economy</t>
        </is>
      </c>
      <c r="D576" t="inlineStr">
        <is>
          <t>한겨레</t>
        </is>
      </c>
      <c r="E576" t="inlineStr">
        <is>
          <t>최종훈</t>
        </is>
      </c>
      <c r="F576" t="inlineStr">
        <is>
          <t>2040년 전국 주요도시 2시간대 열차 이동 가능해진다</t>
        </is>
      </c>
      <c r="G576" s="2">
        <f>HYPERLINK("http://www.hani.co.kr/arti/economy/property/996142.html", "Go to Website")</f>
        <v/>
      </c>
      <c r="H576" t="inlineStr"/>
      <c r="I576" t="inlineStr">
        <is>
          <t>100</t>
        </is>
      </c>
      <c r="J576" s="3" t="n">
        <v>0.636</v>
      </c>
      <c r="K576" t="inlineStr">
        <is>
          <t>분류 제외, 기타</t>
        </is>
      </c>
      <c r="L576" t="inlineStr"/>
      <c r="M576" t="inlineStr"/>
      <c r="N576" t="inlineStr"/>
    </row>
    <row r="577">
      <c r="A577" s="1" t="inlineStr">
        <is>
          <t>2021-05-21</t>
        </is>
      </c>
      <c r="B577" t="inlineStr">
        <is>
          <t>news</t>
        </is>
      </c>
      <c r="C577" t="inlineStr">
        <is>
          <t>economy</t>
        </is>
      </c>
      <c r="D577" t="inlineStr">
        <is>
          <t>한국일보</t>
        </is>
      </c>
      <c r="E577" t="inlineStr">
        <is>
          <t>손성원</t>
        </is>
      </c>
      <c r="F577" t="inlineStr">
        <is>
          <t>문-바이든 첫 정상회담, 반도체와 배터리 러브콜 "중국 염두에 둔 것"</t>
        </is>
      </c>
      <c r="G577" s="2">
        <f>HYPERLINK("https://hankookilbo.com/News/Read/A2021052112100003554?did=NA", "Go to Website")</f>
        <v/>
      </c>
      <c r="H577" t="inlineStr"/>
      <c r="I577" t="inlineStr">
        <is>
          <t>C33</t>
        </is>
      </c>
      <c r="J577" s="3" t="n">
        <v>0.909</v>
      </c>
      <c r="K577" t="inlineStr">
        <is>
          <t>기타 제품 제조업</t>
        </is>
      </c>
      <c r="L577" t="inlineStr"/>
      <c r="M577" t="inlineStr"/>
      <c r="N577" t="inlineStr"/>
    </row>
    <row r="578">
      <c r="A578" s="1" t="inlineStr">
        <is>
          <t>2021-05-21</t>
        </is>
      </c>
      <c r="B578" t="inlineStr">
        <is>
          <t>news</t>
        </is>
      </c>
      <c r="C578" t="inlineStr">
        <is>
          <t>economy</t>
        </is>
      </c>
      <c r="D578" t="inlineStr">
        <is>
          <t>연합뉴스</t>
        </is>
      </c>
      <c r="E578" t="inlineStr">
        <is>
          <t>양영석</t>
        </is>
      </c>
      <c r="F578" t="inlineStr">
        <is>
          <t>충남도, 기재부에 균형발전·지역현안 예산 6천억원 요청</t>
        </is>
      </c>
      <c r="G578" s="2">
        <f>HYPERLINK("http://yna.kr/AKR20210521049600063?did=1195m", "Go to Website")</f>
        <v/>
      </c>
      <c r="H578" t="inlineStr"/>
      <c r="I578" t="inlineStr">
        <is>
          <t>100</t>
        </is>
      </c>
      <c r="J578" s="3" t="n">
        <v>0.892</v>
      </c>
      <c r="K578" t="inlineStr">
        <is>
          <t>분류 제외, 기타</t>
        </is>
      </c>
      <c r="L578" t="inlineStr"/>
      <c r="M578" t="inlineStr"/>
      <c r="N578" t="inlineStr"/>
    </row>
    <row r="579">
      <c r="A579" s="1" t="inlineStr">
        <is>
          <t>2021-05-21</t>
        </is>
      </c>
      <c r="B579" t="inlineStr">
        <is>
          <t>news</t>
        </is>
      </c>
      <c r="C579" t="inlineStr">
        <is>
          <t>economy</t>
        </is>
      </c>
      <c r="D579" t="inlineStr">
        <is>
          <t>매일경제</t>
        </is>
      </c>
      <c r="E579" t="inlineStr">
        <is>
          <t>이상헌</t>
        </is>
      </c>
      <c r="F579" t="inlineStr">
        <is>
          <t>강원 전기차 '포트로' 조달청 나라장터 등록</t>
        </is>
      </c>
      <c r="G579" s="2">
        <f>HYPERLINK("http://news.mk.co.kr/newsRead.php?no=491227&amp;year=2021", "Go to Website")</f>
        <v/>
      </c>
      <c r="H579" t="inlineStr"/>
      <c r="I579" t="inlineStr">
        <is>
          <t>100</t>
        </is>
      </c>
      <c r="J579" s="3" t="n">
        <v>0.465</v>
      </c>
      <c r="K579" t="inlineStr">
        <is>
          <t>분류 제외, 기타</t>
        </is>
      </c>
      <c r="L579" t="inlineStr">
        <is>
          <t>0</t>
        </is>
      </c>
      <c r="M579" s="3" t="n">
        <v>0.598</v>
      </c>
      <c r="N579" t="inlineStr">
        <is>
          <t>중립</t>
        </is>
      </c>
    </row>
    <row r="580">
      <c r="A580" s="1" t="inlineStr">
        <is>
          <t>2021-05-21</t>
        </is>
      </c>
      <c r="B580" t="inlineStr">
        <is>
          <t>news</t>
        </is>
      </c>
      <c r="C580" t="inlineStr">
        <is>
          <t>economy</t>
        </is>
      </c>
      <c r="D580" t="inlineStr">
        <is>
          <t>시사저널</t>
        </is>
      </c>
      <c r="E580" t="inlineStr">
        <is>
          <t>송창섭</t>
        </is>
      </c>
      <c r="F580" t="inlineStr">
        <is>
          <t>마케팅 거장의 질문 "고객의 지갑을 어떻게 열게 할건가"</t>
        </is>
      </c>
      <c r="G580" s="2">
        <f>HYPERLINK("http://www.sisajournal.com/news/articleView.html?idxno=217344", "Go to Website")</f>
        <v/>
      </c>
      <c r="H580" t="inlineStr"/>
      <c r="I580" t="inlineStr">
        <is>
          <t>C26</t>
        </is>
      </c>
      <c r="J580" s="3" t="n">
        <v>0.875</v>
      </c>
      <c r="K580" t="inlineStr">
        <is>
          <t>전자 부품, 컴퓨터, 영상, 음향 및 통신장비 제조업</t>
        </is>
      </c>
      <c r="L580" t="inlineStr">
        <is>
          <t>0</t>
        </is>
      </c>
      <c r="M580" s="3" t="n">
        <v>1</v>
      </c>
      <c r="N580" t="inlineStr">
        <is>
          <t>중립</t>
        </is>
      </c>
    </row>
    <row r="581">
      <c r="A581" s="1" t="inlineStr">
        <is>
          <t>2021-05-21</t>
        </is>
      </c>
      <c r="B581" t="inlineStr">
        <is>
          <t>news</t>
        </is>
      </c>
      <c r="C581" t="inlineStr">
        <is>
          <t>economy</t>
        </is>
      </c>
      <c r="D581" t="inlineStr">
        <is>
          <t>비즈니스워치</t>
        </is>
      </c>
      <c r="E581" t="inlineStr"/>
      <c r="F581" t="inlineStr">
        <is>
          <t>현대차그룹주 '몰빵투자'…모빌리티펀드 수익률 '쌩쌩'</t>
        </is>
      </c>
      <c r="G581" s="2">
        <f>HYPERLINK("http://news.bizwatch.co.kr/article/market/2021/05/21/0010", "Go to Website")</f>
        <v/>
      </c>
      <c r="H581" t="inlineStr"/>
      <c r="I581" t="inlineStr">
        <is>
          <t>C30</t>
        </is>
      </c>
      <c r="J581" s="3" t="n">
        <v>0.995</v>
      </c>
      <c r="K581" t="inlineStr">
        <is>
          <t>자동차 및 트레일러 제조업</t>
        </is>
      </c>
      <c r="L581" t="inlineStr"/>
      <c r="M581" t="inlineStr"/>
      <c r="N581" t="inlineStr"/>
    </row>
    <row r="582">
      <c r="A582" s="1" t="inlineStr">
        <is>
          <t>2021-05-21</t>
        </is>
      </c>
      <c r="B582" t="inlineStr">
        <is>
          <t>news</t>
        </is>
      </c>
      <c r="C582" t="inlineStr">
        <is>
          <t>economy</t>
        </is>
      </c>
      <c r="D582" t="inlineStr">
        <is>
          <t>조선일보</t>
        </is>
      </c>
      <c r="E582" t="inlineStr"/>
      <c r="F582" t="inlineStr">
        <is>
          <t>원안위가 트집 잡은 신한울 원전, 비행기 추락해도 안 터진다</t>
        </is>
      </c>
      <c r="G582" s="2">
        <f>HYPERLINK("https://www.chosun.com/economy/industry-company/2021/05/21/ASSRU4UGWZDTXMY6EKXWNZM4GE/?utm_medium=referral&amp;utm_campaign=naver-news", "Go to Website")</f>
        <v/>
      </c>
      <c r="H582" t="inlineStr"/>
      <c r="I582" t="inlineStr">
        <is>
          <t>100</t>
        </is>
      </c>
      <c r="J582" s="3" t="n">
        <v>0.585</v>
      </c>
      <c r="K582" t="inlineStr">
        <is>
          <t>분류 제외, 기타</t>
        </is>
      </c>
      <c r="L582" t="inlineStr"/>
      <c r="M582" t="inlineStr"/>
      <c r="N582" t="inlineStr"/>
    </row>
    <row r="583">
      <c r="A583" s="1" t="inlineStr">
        <is>
          <t>2021-05-21</t>
        </is>
      </c>
      <c r="B583" t="inlineStr">
        <is>
          <t>news</t>
        </is>
      </c>
      <c r="C583" t="inlineStr">
        <is>
          <t>economy</t>
        </is>
      </c>
      <c r="D583" t="inlineStr">
        <is>
          <t>머니투데이</t>
        </is>
      </c>
      <c r="E583" t="inlineStr">
        <is>
          <t>주명호</t>
        </is>
      </c>
      <c r="F583" t="inlineStr">
        <is>
          <t>'수소 리더' 정의선, 이번엔 美서 승부수…글로벌 수소 생태계 구축 나선다</t>
        </is>
      </c>
      <c r="G583" s="2">
        <f>HYPERLINK("http://news.mt.co.kr/mtview.php?no=2021052113025761135", "Go to Website")</f>
        <v/>
      </c>
      <c r="H583" t="inlineStr"/>
      <c r="I583" t="inlineStr">
        <is>
          <t>C28</t>
        </is>
      </c>
      <c r="J583" s="3" t="n">
        <v>0.73</v>
      </c>
      <c r="K583" t="inlineStr">
        <is>
          <t>전기장비 제조업</t>
        </is>
      </c>
      <c r="L583" t="inlineStr"/>
      <c r="M583" t="inlineStr"/>
      <c r="N583" t="inlineStr"/>
    </row>
    <row r="584">
      <c r="A584" s="1" t="inlineStr">
        <is>
          <t>2021-05-21</t>
        </is>
      </c>
      <c r="B584" t="inlineStr">
        <is>
          <t>news</t>
        </is>
      </c>
      <c r="C584" t="inlineStr">
        <is>
          <t>economy</t>
        </is>
      </c>
      <c r="D584" t="inlineStr">
        <is>
          <t>한국경제</t>
        </is>
      </c>
      <c r="E584" t="inlineStr"/>
      <c r="F584" t="inlineStr">
        <is>
          <t>글로벌 배터리, 보다 빨라지는 트랜지션</t>
        </is>
      </c>
      <c r="G584" s="2">
        <f>HYPERLINK("https://www.hankyung.com/finance/article/202105214770i", "Go to Website")</f>
        <v/>
      </c>
      <c r="H584" t="inlineStr"/>
      <c r="I584" t="inlineStr">
        <is>
          <t>C28</t>
        </is>
      </c>
      <c r="J584" s="3" t="n">
        <v>0.517</v>
      </c>
      <c r="K584" t="inlineStr">
        <is>
          <t>전기장비 제조업</t>
        </is>
      </c>
      <c r="L584" t="inlineStr">
        <is>
          <t>0</t>
        </is>
      </c>
      <c r="M584" s="3" t="n">
        <v>0.891</v>
      </c>
      <c r="N584" t="inlineStr">
        <is>
          <t>중립</t>
        </is>
      </c>
    </row>
    <row r="585">
      <c r="A585" s="1" t="inlineStr">
        <is>
          <t>2021-05-21</t>
        </is>
      </c>
      <c r="B585" t="inlineStr">
        <is>
          <t>news</t>
        </is>
      </c>
      <c r="C585" t="inlineStr">
        <is>
          <t>economy</t>
        </is>
      </c>
      <c r="D585" t="inlineStr">
        <is>
          <t>뉴스1</t>
        </is>
      </c>
      <c r="E585" t="inlineStr">
        <is>
          <t>김정한</t>
        </is>
      </c>
      <c r="F585" t="inlineStr">
        <is>
          <t>테슬라 차량, 중국 관공서에서 주차 금지 당해…보안 문제</t>
        </is>
      </c>
      <c r="G585" s="2">
        <f>HYPERLINK("https://www.news1.kr/articles/?4313592", "Go to Website")</f>
        <v/>
      </c>
      <c r="H585" t="inlineStr"/>
      <c r="I585" t="inlineStr">
        <is>
          <t>100</t>
        </is>
      </c>
      <c r="J585" s="3" t="n">
        <v>0.406</v>
      </c>
      <c r="K585" t="inlineStr">
        <is>
          <t>분류 제외, 기타</t>
        </is>
      </c>
      <c r="L585" t="inlineStr"/>
      <c r="M585" t="inlineStr"/>
      <c r="N585" t="inlineStr"/>
    </row>
    <row r="586">
      <c r="A586" s="1" t="inlineStr">
        <is>
          <t>2021-05-21</t>
        </is>
      </c>
      <c r="B586" t="inlineStr">
        <is>
          <t>news</t>
        </is>
      </c>
      <c r="C586" t="inlineStr">
        <is>
          <t>economy</t>
        </is>
      </c>
      <c r="D586" t="inlineStr">
        <is>
          <t>이데일리</t>
        </is>
      </c>
      <c r="E586" t="inlineStr">
        <is>
          <t>권효중</t>
        </is>
      </c>
      <c r="F586" t="inlineStr">
        <is>
          <t>비디아이, 美 ACPS와 협력 강화…"그린에너지 사업 강화"</t>
        </is>
      </c>
      <c r="G586" s="2">
        <f>HYPERLINK("http://www.edaily.co.kr/news/newspath.asp?newsid=02348486629051216", "Go to Website")</f>
        <v/>
      </c>
      <c r="H586" t="inlineStr"/>
      <c r="I586" t="inlineStr">
        <is>
          <t>C29</t>
        </is>
      </c>
      <c r="J586" s="3" t="n">
        <v>0.994</v>
      </c>
      <c r="K586" t="inlineStr">
        <is>
          <t>기타 기계 및 장비 제조업</t>
        </is>
      </c>
      <c r="L586" t="inlineStr"/>
      <c r="M586" t="inlineStr"/>
      <c r="N586" t="inlineStr"/>
    </row>
    <row r="587">
      <c r="A587" s="1" t="inlineStr">
        <is>
          <t>2021-05-21</t>
        </is>
      </c>
      <c r="B587" t="inlineStr">
        <is>
          <t>news</t>
        </is>
      </c>
      <c r="C587" t="inlineStr">
        <is>
          <t>economy</t>
        </is>
      </c>
      <c r="D587" t="inlineStr">
        <is>
          <t>한국경제</t>
        </is>
      </c>
      <c r="E587" t="inlineStr">
        <is>
          <t>한경닷컴</t>
        </is>
      </c>
      <c r="F587" t="inlineStr">
        <is>
          <t>공장 휴업, 인건비는 그대로…현대차 2분기 '조단위 손실' 우려</t>
        </is>
      </c>
      <c r="G587" s="2">
        <f>HYPERLINK("https://www.hankyung.com/economy/article/202105215298g", "Go to Website")</f>
        <v/>
      </c>
      <c r="H587" t="inlineStr"/>
      <c r="I587" t="inlineStr">
        <is>
          <t>C30</t>
        </is>
      </c>
      <c r="J587" s="3" t="n">
        <v>0.918</v>
      </c>
      <c r="K587" t="inlineStr">
        <is>
          <t>자동차 및 트레일러 제조업</t>
        </is>
      </c>
      <c r="L587" t="inlineStr">
        <is>
          <t>-1</t>
        </is>
      </c>
      <c r="M587" s="3" t="n">
        <v>0.998</v>
      </c>
      <c r="N587" t="inlineStr">
        <is>
          <t>부정</t>
        </is>
      </c>
    </row>
    <row r="588">
      <c r="A588" s="1" t="inlineStr">
        <is>
          <t>2021-05-21</t>
        </is>
      </c>
      <c r="B588" t="inlineStr">
        <is>
          <t>news</t>
        </is>
      </c>
      <c r="C588" t="inlineStr">
        <is>
          <t>economy</t>
        </is>
      </c>
      <c r="D588" t="inlineStr">
        <is>
          <t>한국경제</t>
        </is>
      </c>
      <c r="E588" t="inlineStr"/>
      <c r="F588" t="inlineStr">
        <is>
          <t>한국엠에스씨소프트웨어, 지속가능성 주제로 ‘2021 헥사곤 디자인 &amp; 엔지니어링 코리아’ 컨퍼런스 개최</t>
        </is>
      </c>
      <c r="G588" s="2">
        <f>HYPERLINK("https://www.hankyung.com/economy/article/202105202072a", "Go to Website")</f>
        <v/>
      </c>
      <c r="H588" t="inlineStr"/>
      <c r="I588" t="inlineStr">
        <is>
          <t>C27</t>
        </is>
      </c>
      <c r="J588" s="3" t="n">
        <v>0.581</v>
      </c>
      <c r="K588" t="inlineStr">
        <is>
          <t>의료, 정밀, 광학 기기 및 시계 제조업</t>
        </is>
      </c>
      <c r="L588" t="inlineStr"/>
      <c r="M588" t="inlineStr"/>
      <c r="N588" t="inlineStr"/>
    </row>
    <row r="589">
      <c r="A589" s="1" t="inlineStr">
        <is>
          <t>2021-05-21</t>
        </is>
      </c>
      <c r="B589" t="inlineStr">
        <is>
          <t>news</t>
        </is>
      </c>
      <c r="C589" t="inlineStr">
        <is>
          <t>economy</t>
        </is>
      </c>
      <c r="D589" t="inlineStr">
        <is>
          <t>파이낸셜뉴스</t>
        </is>
      </c>
      <c r="E589" t="inlineStr">
        <is>
          <t>최용준</t>
        </is>
      </c>
      <c r="F589" t="inlineStr">
        <is>
          <t>CJ대한통운, 지속가능 보고서 발간 “ESG경영 성과 담아”</t>
        </is>
      </c>
      <c r="G589" s="2">
        <f>HYPERLINK("http://www.fnnews.com/news/202105211345372705", "Go to Website")</f>
        <v/>
      </c>
      <c r="H589" t="inlineStr"/>
      <c r="I589" t="inlineStr">
        <is>
          <t>H49</t>
        </is>
      </c>
      <c r="J589" s="3" t="n">
        <v>1</v>
      </c>
      <c r="K589" t="inlineStr">
        <is>
          <t>육상 운송 및 파이프라인 운송업</t>
        </is>
      </c>
      <c r="L589" t="inlineStr">
        <is>
          <t>0</t>
        </is>
      </c>
      <c r="M589" s="3" t="n">
        <v>0.786</v>
      </c>
      <c r="N589" t="inlineStr">
        <is>
          <t>중립</t>
        </is>
      </c>
    </row>
    <row r="590">
      <c r="A590" s="1" t="inlineStr">
        <is>
          <t>2021-05-21</t>
        </is>
      </c>
      <c r="B590" t="inlineStr">
        <is>
          <t>news</t>
        </is>
      </c>
      <c r="C590" t="inlineStr">
        <is>
          <t>economy</t>
        </is>
      </c>
      <c r="D590" t="inlineStr">
        <is>
          <t>매일경제</t>
        </is>
      </c>
      <c r="E590" t="inlineStr">
        <is>
          <t>매경닷컴</t>
        </is>
      </c>
      <c r="F590" t="inlineStr">
        <is>
          <t>정의선 GO, 현대차 GO…지속가능 미래 화두 'ESG'</t>
        </is>
      </c>
      <c r="G590" s="2">
        <f>HYPERLINK("http://news.mk.co.kr/newsRead.php?no=490664&amp;year=2021", "Go to Website")</f>
        <v/>
      </c>
      <c r="H590" t="inlineStr"/>
      <c r="I590" t="inlineStr">
        <is>
          <t>C31</t>
        </is>
      </c>
      <c r="J590" s="3" t="n">
        <v>0.535</v>
      </c>
      <c r="K590" t="inlineStr">
        <is>
          <t>기타 운송장비 제조업</t>
        </is>
      </c>
      <c r="L590" t="inlineStr">
        <is>
          <t>0</t>
        </is>
      </c>
      <c r="M590" s="3" t="n">
        <v>0.986</v>
      </c>
      <c r="N590" t="inlineStr">
        <is>
          <t>중립</t>
        </is>
      </c>
    </row>
    <row r="591">
      <c r="A591" s="1" t="inlineStr">
        <is>
          <t>2021-05-21</t>
        </is>
      </c>
      <c r="B591" t="inlineStr">
        <is>
          <t>news</t>
        </is>
      </c>
      <c r="C591" t="inlineStr">
        <is>
          <t>tech</t>
        </is>
      </c>
      <c r="D591" t="inlineStr">
        <is>
          <t>전자신문</t>
        </is>
      </c>
      <c r="E591" t="inlineStr">
        <is>
          <t>김지웅</t>
        </is>
      </c>
      <c r="F591" t="inlineStr">
        <is>
          <t>글로벌 배터리 기술 총집합 '인터배터리 2021' 내달 9일 개막</t>
        </is>
      </c>
      <c r="G591" s="2">
        <f>HYPERLINK("http://www.etnews.com/20210521000074", "Go to Website")</f>
        <v/>
      </c>
      <c r="H591" t="inlineStr"/>
      <c r="I591" t="inlineStr"/>
      <c r="J591" t="inlineStr"/>
      <c r="K591" t="inlineStr"/>
      <c r="L591" t="inlineStr"/>
      <c r="M591" t="inlineStr"/>
      <c r="N591" t="inlineStr"/>
    </row>
    <row r="592">
      <c r="A592" s="1" t="inlineStr">
        <is>
          <t>2021-05-21</t>
        </is>
      </c>
      <c r="B592" t="inlineStr">
        <is>
          <t>news</t>
        </is>
      </c>
      <c r="C592" t="inlineStr">
        <is>
          <t>tech</t>
        </is>
      </c>
      <c r="D592" t="inlineStr">
        <is>
          <t>ZDNet Korea</t>
        </is>
      </c>
      <c r="E592" t="inlineStr">
        <is>
          <t>박영민</t>
        </is>
      </c>
      <c r="F592" t="inlineStr">
        <is>
          <t>SK이노, 포드와 美 합작법인 설립…배터리 영토 확장</t>
        </is>
      </c>
      <c r="G592" s="2">
        <f>HYPERLINK("https://zdnet.co.kr/view/?no=20210521111254", "Go to Website")</f>
        <v/>
      </c>
      <c r="H592" t="inlineStr"/>
      <c r="I592" t="inlineStr"/>
      <c r="J592" t="inlineStr"/>
      <c r="K592" t="inlineStr"/>
      <c r="L592" t="inlineStr"/>
      <c r="M592" t="inlineStr"/>
      <c r="N592" t="inlineStr"/>
    </row>
    <row r="593">
      <c r="A593" s="1" t="inlineStr">
        <is>
          <t>2021-05-21</t>
        </is>
      </c>
      <c r="B593" t="inlineStr">
        <is>
          <t>news</t>
        </is>
      </c>
      <c r="C593" t="inlineStr">
        <is>
          <t>economy</t>
        </is>
      </c>
      <c r="D593" t="inlineStr">
        <is>
          <t>이데일리</t>
        </is>
      </c>
      <c r="E593" t="inlineStr">
        <is>
          <t>김보겸</t>
        </is>
      </c>
      <c r="F593" t="inlineStr">
        <is>
          <t>'테슬라 대항마' 포드 웃었다…출시 12시간만에 2만대 예약</t>
        </is>
      </c>
      <c r="G593" s="2">
        <f>HYPERLINK("http://www.edaily.co.kr/news/newspath.asp?newsid=02296006629051216", "Go to Website")</f>
        <v/>
      </c>
      <c r="H593" t="inlineStr"/>
      <c r="I593" t="inlineStr">
        <is>
          <t>100</t>
        </is>
      </c>
      <c r="J593" s="3" t="n">
        <v>0.45</v>
      </c>
      <c r="K593" t="inlineStr">
        <is>
          <t>분류 제외, 기타</t>
        </is>
      </c>
      <c r="L593" t="inlineStr"/>
      <c r="M593" t="inlineStr"/>
      <c r="N593" t="inlineStr"/>
    </row>
    <row r="594">
      <c r="A594" s="1" t="inlineStr">
        <is>
          <t>2021-05-21</t>
        </is>
      </c>
      <c r="B594" t="inlineStr">
        <is>
          <t>news</t>
        </is>
      </c>
      <c r="C594" t="inlineStr">
        <is>
          <t>economy</t>
        </is>
      </c>
      <c r="D594" t="inlineStr">
        <is>
          <t>문화일보</t>
        </is>
      </c>
      <c r="E594" t="inlineStr">
        <is>
          <t>박정민</t>
        </is>
      </c>
      <c r="F594" t="inlineStr">
        <is>
          <t>“자율차·자율선박·UAM 상용화”… 친환경·첨단모빌리티 가속</t>
        </is>
      </c>
      <c r="G594" s="2">
        <f>HYPERLINK("http://www.munhwa.com/news/view.html?no=2021052101072121087001", "Go to Website")</f>
        <v/>
      </c>
      <c r="H594" t="inlineStr"/>
      <c r="I594" t="inlineStr">
        <is>
          <t>C30</t>
        </is>
      </c>
      <c r="J594" s="3" t="n">
        <v>0.524</v>
      </c>
      <c r="K594" t="inlineStr">
        <is>
          <t>자동차 및 트레일러 제조업</t>
        </is>
      </c>
      <c r="L594" t="inlineStr"/>
      <c r="M594" t="inlineStr"/>
      <c r="N594" t="inlineStr"/>
    </row>
    <row r="595">
      <c r="A595" s="1" t="inlineStr">
        <is>
          <t>2021-05-21</t>
        </is>
      </c>
      <c r="B595" t="inlineStr">
        <is>
          <t>news</t>
        </is>
      </c>
      <c r="C595" t="inlineStr">
        <is>
          <t>economy</t>
        </is>
      </c>
      <c r="D595" t="inlineStr">
        <is>
          <t>디지털타임스</t>
        </is>
      </c>
      <c r="E595" t="inlineStr">
        <is>
          <t>정승훈</t>
        </is>
      </c>
      <c r="F595" t="inlineStr">
        <is>
          <t>한국엠에스씨소프트웨어, ‘2021 헥사곤 디자인 &amp; 엔지니어링 코리아’ 개최. 지속가능성 주제 다뤄</t>
        </is>
      </c>
      <c r="G595" s="2">
        <f>HYPERLINK("http://www.dt.co.kr/contents.html?article_no=2021052102109923805005", "Go to Website")</f>
        <v/>
      </c>
      <c r="H595" t="inlineStr"/>
      <c r="I595" t="inlineStr">
        <is>
          <t>C27</t>
        </is>
      </c>
      <c r="J595" s="3" t="n">
        <v>0.673</v>
      </c>
      <c r="K595" t="inlineStr">
        <is>
          <t>의료, 정밀, 광학 기기 및 시계 제조업</t>
        </is>
      </c>
      <c r="L595" t="inlineStr"/>
      <c r="M595" t="inlineStr"/>
      <c r="N595" t="inlineStr"/>
    </row>
    <row r="596">
      <c r="A596" s="1" t="inlineStr">
        <is>
          <t>2021-05-21</t>
        </is>
      </c>
      <c r="B596" t="inlineStr">
        <is>
          <t>news</t>
        </is>
      </c>
      <c r="C596" t="inlineStr">
        <is>
          <t>economy</t>
        </is>
      </c>
      <c r="D596" t="inlineStr">
        <is>
          <t>문화일보</t>
        </is>
      </c>
      <c r="E596" t="inlineStr">
        <is>
          <t>곽선미</t>
        </is>
      </c>
      <c r="F596" t="inlineStr">
        <is>
          <t>유화업계, 전기차 배터리 대대적 투자… 세계 시장 노린다</t>
        </is>
      </c>
      <c r="G596" s="2">
        <f>HYPERLINK("http://www.munhwa.com/news/view.html?no=2021052101072239342001", "Go to Website")</f>
        <v/>
      </c>
      <c r="H596" t="inlineStr"/>
      <c r="I596" t="inlineStr">
        <is>
          <t>C20</t>
        </is>
      </c>
      <c r="J596" s="3" t="n">
        <v>0.999</v>
      </c>
      <c r="K596" t="inlineStr">
        <is>
          <t>화학 물질 및 화학제품 제조업; 의약품 제외</t>
        </is>
      </c>
      <c r="L596" t="inlineStr"/>
      <c r="M596" t="inlineStr"/>
      <c r="N596" t="inlineStr"/>
    </row>
    <row r="597">
      <c r="A597" s="1" t="inlineStr">
        <is>
          <t>2021-05-21</t>
        </is>
      </c>
      <c r="B597" t="inlineStr">
        <is>
          <t>news</t>
        </is>
      </c>
      <c r="C597" t="inlineStr">
        <is>
          <t>economy</t>
        </is>
      </c>
      <c r="D597" t="inlineStr">
        <is>
          <t>아시아경제</t>
        </is>
      </c>
      <c r="E597" t="inlineStr">
        <is>
          <t>최대열</t>
        </is>
      </c>
      <c r="F597" t="inlineStr">
        <is>
          <t>美서 소송 끝낸 LG·SK, 배터리 사업으로 맞불</t>
        </is>
      </c>
      <c r="G597" s="2">
        <f>HYPERLINK("https://view.asiae.co.kr/article/2021052111293554739", "Go to Website")</f>
        <v/>
      </c>
      <c r="H597" t="inlineStr"/>
      <c r="I597" t="inlineStr">
        <is>
          <t>C26</t>
        </is>
      </c>
      <c r="J597" s="3" t="n">
        <v>0.399</v>
      </c>
      <c r="K597" t="inlineStr">
        <is>
          <t>전자 부품, 컴퓨터, 영상, 음향 및 통신장비 제조업</t>
        </is>
      </c>
      <c r="L597" t="inlineStr"/>
      <c r="M597" t="inlineStr"/>
      <c r="N597" t="inlineStr"/>
    </row>
    <row r="598">
      <c r="A598" s="1" t="inlineStr">
        <is>
          <t>2021-05-21</t>
        </is>
      </c>
      <c r="B598" t="inlineStr">
        <is>
          <t>news</t>
        </is>
      </c>
      <c r="C598" t="inlineStr">
        <is>
          <t>economy</t>
        </is>
      </c>
      <c r="D598" t="inlineStr">
        <is>
          <t>SBS Biz</t>
        </is>
      </c>
      <c r="E598" t="inlineStr">
        <is>
          <t>김정연</t>
        </is>
      </c>
      <c r="F598" t="inlineStr">
        <is>
          <t>SK이노, 포드와 맞손…6조 원대 배터리 합작사 설립</t>
        </is>
      </c>
      <c r="G598" s="2">
        <f>HYPERLINK("https://biz.sbs.co.kr/article_hub/20000016290", "Go to Website")</f>
        <v/>
      </c>
      <c r="H598" t="inlineStr"/>
      <c r="I598" t="inlineStr">
        <is>
          <t>K64</t>
        </is>
      </c>
      <c r="J598" s="3" t="n">
        <v>0.773</v>
      </c>
      <c r="K598" t="inlineStr">
        <is>
          <t>금융업</t>
        </is>
      </c>
      <c r="L598" t="inlineStr"/>
      <c r="M598" t="inlineStr"/>
      <c r="N598" t="inlineStr"/>
    </row>
    <row r="599">
      <c r="A599" s="1" t="inlineStr">
        <is>
          <t>2021-05-21</t>
        </is>
      </c>
      <c r="B599" t="inlineStr">
        <is>
          <t>news</t>
        </is>
      </c>
      <c r="C599" t="inlineStr">
        <is>
          <t>economy</t>
        </is>
      </c>
      <c r="D599" t="inlineStr">
        <is>
          <t>TV조선</t>
        </is>
      </c>
      <c r="E599" t="inlineStr">
        <is>
          <t>이상배</t>
        </is>
      </c>
      <c r="F599" t="inlineStr">
        <is>
          <t>SK이노, 포드와 MOU체결…배터리 경쟁 더 치열해진다</t>
        </is>
      </c>
      <c r="G599" s="2">
        <f>HYPERLINK("http://news.tvchosun.com/site/data/html_dir/2021/05/21/2021052190061.html", "Go to Website")</f>
        <v/>
      </c>
      <c r="H599" t="inlineStr"/>
      <c r="I599" t="inlineStr">
        <is>
          <t>K64</t>
        </is>
      </c>
      <c r="J599" s="3" t="n">
        <v>0.984</v>
      </c>
      <c r="K599" t="inlineStr">
        <is>
          <t>금융업</t>
        </is>
      </c>
      <c r="L599" t="inlineStr">
        <is>
          <t>1</t>
        </is>
      </c>
      <c r="M599" s="3" t="n">
        <v>0.988</v>
      </c>
      <c r="N599" t="inlineStr">
        <is>
          <t>긍정</t>
        </is>
      </c>
    </row>
    <row r="600">
      <c r="A600" s="1" t="inlineStr">
        <is>
          <t>2021-05-21</t>
        </is>
      </c>
      <c r="B600" t="inlineStr">
        <is>
          <t>news</t>
        </is>
      </c>
      <c r="C600" t="inlineStr">
        <is>
          <t>economy</t>
        </is>
      </c>
      <c r="D600" t="inlineStr">
        <is>
          <t>SBS Biz</t>
        </is>
      </c>
      <c r="E600" t="inlineStr">
        <is>
          <t>안지혜</t>
        </is>
      </c>
      <c r="F600" t="inlineStr">
        <is>
          <t>재건축 기대감에 서울 아파트값 반등…2·4대책 이전 수준</t>
        </is>
      </c>
      <c r="G600" s="2">
        <f>HYPERLINK("https://biz.sbs.co.kr/article_hub/20000016279", "Go to Website")</f>
        <v/>
      </c>
      <c r="H600" t="inlineStr"/>
      <c r="I600" t="inlineStr">
        <is>
          <t>100</t>
        </is>
      </c>
      <c r="J600" s="3" t="n">
        <v>1</v>
      </c>
      <c r="K600" t="inlineStr">
        <is>
          <t>분류 제외, 기타</t>
        </is>
      </c>
      <c r="L600" t="inlineStr">
        <is>
          <t>0</t>
        </is>
      </c>
      <c r="M600" s="3" t="n">
        <v>0.962</v>
      </c>
      <c r="N600" t="inlineStr">
        <is>
          <t>중립</t>
        </is>
      </c>
    </row>
    <row r="601">
      <c r="A601" s="1" t="inlineStr">
        <is>
          <t>2021-05-21</t>
        </is>
      </c>
      <c r="B601" t="inlineStr">
        <is>
          <t>news</t>
        </is>
      </c>
      <c r="C601" t="inlineStr">
        <is>
          <t>economy</t>
        </is>
      </c>
      <c r="D601" t="inlineStr">
        <is>
          <t>헤럴드경제</t>
        </is>
      </c>
      <c r="E601" t="inlineStr">
        <is>
          <t>이정환</t>
        </is>
      </c>
      <c r="F601" t="inlineStr">
        <is>
          <t>정의선 회장 참여 탈플라스틱 캠페인 '고고챌린지' 각계 동참 이어져</t>
        </is>
      </c>
      <c r="G601" s="2">
        <f>HYPERLINK("http://news.heraldcorp.com/view.php?ud=20210521000415", "Go to Website")</f>
        <v/>
      </c>
      <c r="H601" t="inlineStr"/>
      <c r="I601" t="inlineStr">
        <is>
          <t>100</t>
        </is>
      </c>
      <c r="J601" s="3" t="n">
        <v>0.778</v>
      </c>
      <c r="K601" t="inlineStr">
        <is>
          <t>분류 제외, 기타</t>
        </is>
      </c>
      <c r="L601" t="inlineStr"/>
      <c r="M601" t="inlineStr"/>
      <c r="N601" t="inlineStr"/>
    </row>
    <row r="602">
      <c r="A602" s="1" t="inlineStr">
        <is>
          <t>2021-05-21</t>
        </is>
      </c>
      <c r="B602" t="inlineStr">
        <is>
          <t>news</t>
        </is>
      </c>
      <c r="C602" t="inlineStr">
        <is>
          <t>economy</t>
        </is>
      </c>
      <c r="D602" t="inlineStr">
        <is>
          <t>머니투데이</t>
        </is>
      </c>
      <c r="E602" t="inlineStr">
        <is>
          <t>구경민</t>
        </is>
      </c>
      <c r="F602" t="inlineStr">
        <is>
          <t>키움투자자산운용, '키움 차세대 모빌리티 펀드' 설정액 1000억 돌파</t>
        </is>
      </c>
      <c r="G602" s="2">
        <f>HYPERLINK("http://news.mt.co.kr/mtview.php?no=2021052111000640329", "Go to Website")</f>
        <v/>
      </c>
      <c r="H602" t="inlineStr"/>
      <c r="I602" t="inlineStr">
        <is>
          <t>K64</t>
        </is>
      </c>
      <c r="J602" s="3" t="n">
        <v>0.999</v>
      </c>
      <c r="K602" t="inlineStr">
        <is>
          <t>금융업</t>
        </is>
      </c>
      <c r="L602" t="inlineStr"/>
      <c r="M602" t="inlineStr"/>
      <c r="N602" t="inlineStr"/>
    </row>
    <row r="603">
      <c r="A603" s="1" t="inlineStr">
        <is>
          <t>2021-05-21</t>
        </is>
      </c>
      <c r="B603" t="inlineStr">
        <is>
          <t>news</t>
        </is>
      </c>
      <c r="C603" t="inlineStr">
        <is>
          <t>economy</t>
        </is>
      </c>
      <c r="D603" t="inlineStr">
        <is>
          <t>한국경제</t>
        </is>
      </c>
      <c r="E603" t="inlineStr">
        <is>
          <t>허란</t>
        </is>
      </c>
      <c r="F603" t="inlineStr">
        <is>
          <t>하반기 주식투자 전략…"대면 수혜주 3개 담아라" [허란의 경제한끼]</t>
        </is>
      </c>
      <c r="G603" s="2">
        <f>HYPERLINK("https://www.hankyung.com/finance/article/202105214528i", "Go to Website")</f>
        <v/>
      </c>
      <c r="H603" t="inlineStr"/>
      <c r="I603" t="inlineStr">
        <is>
          <t>100</t>
        </is>
      </c>
      <c r="J603" s="3" t="n">
        <v>0.888</v>
      </c>
      <c r="K603" t="inlineStr">
        <is>
          <t>분류 제외, 기타</t>
        </is>
      </c>
      <c r="L603" t="inlineStr"/>
      <c r="M603" t="inlineStr"/>
      <c r="N603" t="inlineStr"/>
    </row>
    <row r="604">
      <c r="A604" s="1" t="inlineStr">
        <is>
          <t>2021-05-21</t>
        </is>
      </c>
      <c r="B604" t="inlineStr">
        <is>
          <t>news</t>
        </is>
      </c>
      <c r="C604" t="inlineStr">
        <is>
          <t>economy</t>
        </is>
      </c>
      <c r="D604" t="inlineStr">
        <is>
          <t>매일경제</t>
        </is>
      </c>
      <c r="E604" t="inlineStr">
        <is>
          <t>박동민</t>
        </is>
      </c>
      <c r="F604" t="inlineStr">
        <is>
          <t>화승소재, 친환경 에너지 사업 진출…고무 소재 신제품 개발</t>
        </is>
      </c>
      <c r="G604" s="2">
        <f>HYPERLINK("http://news.mk.co.kr/newsRead.php?no=490066&amp;year=2021", "Go to Website")</f>
        <v/>
      </c>
      <c r="H604" t="inlineStr"/>
      <c r="I604" t="inlineStr">
        <is>
          <t>C20</t>
        </is>
      </c>
      <c r="J604" s="3" t="n">
        <v>1</v>
      </c>
      <c r="K604" t="inlineStr">
        <is>
          <t>화학 물질 및 화학제품 제조업; 의약품 제외</t>
        </is>
      </c>
      <c r="L604" t="inlineStr">
        <is>
          <t>1</t>
        </is>
      </c>
      <c r="M604" s="3" t="n">
        <v>1</v>
      </c>
      <c r="N604" t="inlineStr">
        <is>
          <t>긍정</t>
        </is>
      </c>
    </row>
    <row r="605">
      <c r="A605" s="1" t="inlineStr">
        <is>
          <t>2021-05-21</t>
        </is>
      </c>
      <c r="B605" t="inlineStr">
        <is>
          <t>news</t>
        </is>
      </c>
      <c r="C605" t="inlineStr">
        <is>
          <t>economy</t>
        </is>
      </c>
      <c r="D605" t="inlineStr">
        <is>
          <t>아시아경제</t>
        </is>
      </c>
      <c r="E605" t="inlineStr">
        <is>
          <t>김흥순</t>
        </is>
      </c>
      <c r="F605" t="inlineStr">
        <is>
          <t>경제외교 나선 4대 그룹…40조 투자보따리 푼다</t>
        </is>
      </c>
      <c r="G605" s="2">
        <f>HYPERLINK("https://view.asiae.co.kr/article/2021052110261834504", "Go to Website")</f>
        <v/>
      </c>
      <c r="H605" t="inlineStr"/>
      <c r="I605" t="inlineStr">
        <is>
          <t>100</t>
        </is>
      </c>
      <c r="J605" s="3" t="n">
        <v>0.742</v>
      </c>
      <c r="K605" t="inlineStr">
        <is>
          <t>분류 제외, 기타</t>
        </is>
      </c>
      <c r="L605" t="inlineStr"/>
      <c r="M605" t="inlineStr"/>
      <c r="N605" t="inlineStr"/>
    </row>
    <row r="606">
      <c r="A606" s="1" t="inlineStr">
        <is>
          <t>2021-05-21</t>
        </is>
      </c>
      <c r="B606" t="inlineStr">
        <is>
          <t>news</t>
        </is>
      </c>
      <c r="C606" t="inlineStr">
        <is>
          <t>economy</t>
        </is>
      </c>
      <c r="D606" t="inlineStr">
        <is>
          <t>이데일리</t>
        </is>
      </c>
      <c r="E606" t="inlineStr">
        <is>
          <t>김보겸</t>
        </is>
      </c>
      <c r="F606" t="inlineStr">
        <is>
          <t>K배터리 동맹에 초조해진 日…"이러다 한국에 밀릴수도"</t>
        </is>
      </c>
      <c r="G606" s="2">
        <f>HYPERLINK("http://www.edaily.co.kr/news/newspath.asp?newsid=02118886629051216", "Go to Website")</f>
        <v/>
      </c>
      <c r="H606" t="inlineStr"/>
      <c r="I606" t="inlineStr">
        <is>
          <t>100</t>
        </is>
      </c>
      <c r="J606" s="3" t="n">
        <v>0.825</v>
      </c>
      <c r="K606" t="inlineStr">
        <is>
          <t>분류 제외, 기타</t>
        </is>
      </c>
      <c r="L606" t="inlineStr"/>
      <c r="M606" t="inlineStr"/>
      <c r="N606" t="inlineStr"/>
    </row>
    <row r="607">
      <c r="A607" s="1" t="inlineStr">
        <is>
          <t>2021-05-21</t>
        </is>
      </c>
      <c r="B607" t="inlineStr">
        <is>
          <t>news</t>
        </is>
      </c>
      <c r="C607" t="inlineStr">
        <is>
          <t>economy</t>
        </is>
      </c>
      <c r="D607" t="inlineStr">
        <is>
          <t>헤럴드경제</t>
        </is>
      </c>
      <c r="E607" t="inlineStr">
        <is>
          <t>이현정</t>
        </is>
      </c>
      <c r="F607" t="inlineStr">
        <is>
          <t>테슬라의 굴욕...전기차혁신기업→가상자산 테마주 전락</t>
        </is>
      </c>
      <c r="G607" s="2">
        <f>HYPERLINK("http://news.heraldcorp.com/view.php?ud=20210521000365", "Go to Website")</f>
        <v/>
      </c>
      <c r="H607" t="inlineStr"/>
      <c r="I607" t="inlineStr">
        <is>
          <t>C27</t>
        </is>
      </c>
      <c r="J607" s="3" t="n">
        <v>0.974</v>
      </c>
      <c r="K607" t="inlineStr">
        <is>
          <t>의료, 정밀, 광학 기기 및 시계 제조업</t>
        </is>
      </c>
      <c r="L607" t="inlineStr"/>
      <c r="M607" t="inlineStr"/>
      <c r="N607" t="inlineStr"/>
    </row>
    <row r="608">
      <c r="A608" s="1" t="inlineStr">
        <is>
          <t>2021-05-21</t>
        </is>
      </c>
      <c r="B608" t="inlineStr">
        <is>
          <t>news</t>
        </is>
      </c>
      <c r="C608" t="inlineStr">
        <is>
          <t>economy</t>
        </is>
      </c>
      <c r="D608" t="inlineStr">
        <is>
          <t>이데일리</t>
        </is>
      </c>
      <c r="E608" t="inlineStr">
        <is>
          <t>김윤지</t>
        </is>
      </c>
      <c r="F608" t="inlineStr">
        <is>
          <t>‘키움 차세대 모빌리티 펀드’ 설정액 1000억원 돌파</t>
        </is>
      </c>
      <c r="G608" s="2">
        <f>HYPERLINK("http://www.edaily.co.kr/news/newspath.asp?newsid=02105766629051216", "Go to Website")</f>
        <v/>
      </c>
      <c r="H608" t="inlineStr"/>
      <c r="I608" t="inlineStr">
        <is>
          <t>K64</t>
        </is>
      </c>
      <c r="J608" s="3" t="n">
        <v>0.994</v>
      </c>
      <c r="K608" t="inlineStr">
        <is>
          <t>금융업</t>
        </is>
      </c>
      <c r="L608" t="inlineStr"/>
      <c r="M608" t="inlineStr"/>
      <c r="N608" t="inlineStr"/>
    </row>
    <row r="609">
      <c r="A609" s="1" t="inlineStr">
        <is>
          <t>2021-05-21</t>
        </is>
      </c>
      <c r="B609" t="inlineStr">
        <is>
          <t>news</t>
        </is>
      </c>
      <c r="C609" t="inlineStr">
        <is>
          <t>economy</t>
        </is>
      </c>
      <c r="D609" t="inlineStr">
        <is>
          <t>머니투데이</t>
        </is>
      </c>
      <c r="E609" t="inlineStr">
        <is>
          <t>구단비</t>
        </is>
      </c>
      <c r="F609" t="inlineStr">
        <is>
          <t>한미 정상회담 앞둔 2차전지·반도체…"불확실성 해소 기회"</t>
        </is>
      </c>
      <c r="G609" s="2">
        <f>HYPERLINK("http://news.mt.co.kr/mtview.php?no=2021052111083093262", "Go to Website")</f>
        <v/>
      </c>
      <c r="H609" t="inlineStr"/>
      <c r="I609" t="inlineStr">
        <is>
          <t>C26</t>
        </is>
      </c>
      <c r="J609" s="3" t="n">
        <v>0.955</v>
      </c>
      <c r="K609" t="inlineStr">
        <is>
          <t>전자 부품, 컴퓨터, 영상, 음향 및 통신장비 제조업</t>
        </is>
      </c>
      <c r="L609" t="inlineStr"/>
      <c r="M609" t="inlineStr"/>
      <c r="N609" t="inlineStr"/>
    </row>
    <row r="610">
      <c r="A610" s="1" t="inlineStr">
        <is>
          <t>2021-05-21</t>
        </is>
      </c>
      <c r="B610" t="inlineStr">
        <is>
          <t>news</t>
        </is>
      </c>
      <c r="C610" t="inlineStr">
        <is>
          <t>economy</t>
        </is>
      </c>
      <c r="D610" t="inlineStr">
        <is>
          <t>연합뉴스</t>
        </is>
      </c>
      <c r="E610" t="inlineStr">
        <is>
          <t>이재현</t>
        </is>
      </c>
      <c r="F610" t="inlineStr">
        <is>
          <t>'Made in 강원' 전기차 포트로…"조달청 공공구매 가능해졌다"</t>
        </is>
      </c>
      <c r="G610" s="2">
        <f>HYPERLINK("http://yna.kr/AKR20210521064800062?did=1195m", "Go to Website")</f>
        <v/>
      </c>
      <c r="H610" t="inlineStr"/>
      <c r="I610" t="inlineStr">
        <is>
          <t>100</t>
        </is>
      </c>
      <c r="J610" s="3" t="n">
        <v>0.89</v>
      </c>
      <c r="K610" t="inlineStr">
        <is>
          <t>분류 제외, 기타</t>
        </is>
      </c>
      <c r="L610" t="inlineStr">
        <is>
          <t>0</t>
        </is>
      </c>
      <c r="M610" s="3" t="n">
        <v>0.744</v>
      </c>
      <c r="N610" t="inlineStr">
        <is>
          <t>중립</t>
        </is>
      </c>
    </row>
    <row r="611">
      <c r="A611" s="1" t="inlineStr">
        <is>
          <t>2021-05-21</t>
        </is>
      </c>
      <c r="B611" t="inlineStr">
        <is>
          <t>news</t>
        </is>
      </c>
      <c r="C611" t="inlineStr">
        <is>
          <t>economy</t>
        </is>
      </c>
      <c r="D611" t="inlineStr">
        <is>
          <t>파이낸셜뉴스</t>
        </is>
      </c>
      <c r="E611" t="inlineStr">
        <is>
          <t>박종원</t>
        </is>
      </c>
      <c r="F611" t="inlineStr">
        <is>
          <t>美 상무부, 반도체 부족 사태에 "자동차 특별 대우 없다"</t>
        </is>
      </c>
      <c r="G611" s="2">
        <f>HYPERLINK("http://www.fnnews.com/news/202105211027003438", "Go to Website")</f>
        <v/>
      </c>
      <c r="H611" t="inlineStr"/>
      <c r="I611" t="inlineStr">
        <is>
          <t>C32</t>
        </is>
      </c>
      <c r="J611" s="3" t="n">
        <v>0.9360000000000001</v>
      </c>
      <c r="K611" t="inlineStr">
        <is>
          <t>가구 제조업</t>
        </is>
      </c>
      <c r="L611" t="inlineStr">
        <is>
          <t>-1</t>
        </is>
      </c>
      <c r="M611" s="3" t="n">
        <v>0.891</v>
      </c>
      <c r="N611" t="inlineStr">
        <is>
          <t>부정</t>
        </is>
      </c>
    </row>
    <row r="612">
      <c r="A612" s="1" t="inlineStr">
        <is>
          <t>2021-05-21</t>
        </is>
      </c>
      <c r="B612" t="inlineStr">
        <is>
          <t>news</t>
        </is>
      </c>
      <c r="C612" t="inlineStr">
        <is>
          <t>economy</t>
        </is>
      </c>
      <c r="D612" t="inlineStr">
        <is>
          <t>연합뉴스</t>
        </is>
      </c>
      <c r="E612" t="inlineStr">
        <is>
          <t>권희원</t>
        </is>
      </c>
      <c r="F612" t="inlineStr">
        <is>
          <t>덕양산업, 미국 조지아주에 배터리 모듈 공장 설립</t>
        </is>
      </c>
      <c r="G612" s="2">
        <f>HYPERLINK("http://yna.kr/AKR20210521058700003?did=1195m", "Go to Website")</f>
        <v/>
      </c>
      <c r="H612" t="inlineStr"/>
      <c r="I612" t="inlineStr">
        <is>
          <t>C30</t>
        </is>
      </c>
      <c r="J612" s="3" t="n">
        <v>1</v>
      </c>
      <c r="K612" t="inlineStr">
        <is>
          <t>자동차 및 트레일러 제조업</t>
        </is>
      </c>
      <c r="L612" t="inlineStr">
        <is>
          <t>1</t>
        </is>
      </c>
      <c r="M612" s="3" t="n">
        <v>0.962</v>
      </c>
      <c r="N612" t="inlineStr">
        <is>
          <t>긍정</t>
        </is>
      </c>
    </row>
    <row r="613">
      <c r="A613" s="1" t="inlineStr">
        <is>
          <t>2021-05-21</t>
        </is>
      </c>
      <c r="B613" t="inlineStr">
        <is>
          <t>news</t>
        </is>
      </c>
      <c r="C613" t="inlineStr">
        <is>
          <t>economy</t>
        </is>
      </c>
      <c r="D613" t="inlineStr">
        <is>
          <t>머니S</t>
        </is>
      </c>
      <c r="E613" t="inlineStr">
        <is>
          <t>안서진</t>
        </is>
      </c>
      <c r="F613" t="inlineStr">
        <is>
          <t>키움 차세대 모빌리티 펀드, 설정액 1000억원 돌파</t>
        </is>
      </c>
      <c r="G613" s="2">
        <f>HYPERLINK("http://moneys.mt.co.kr/news/mwView.php?no=2021052110518072822", "Go to Website")</f>
        <v/>
      </c>
      <c r="H613" t="inlineStr"/>
      <c r="I613" t="inlineStr">
        <is>
          <t>K64</t>
        </is>
      </c>
      <c r="J613" s="3" t="n">
        <v>0.979</v>
      </c>
      <c r="K613" t="inlineStr">
        <is>
          <t>금융업</t>
        </is>
      </c>
      <c r="L613" t="inlineStr"/>
      <c r="M613" t="inlineStr"/>
      <c r="N613" t="inlineStr"/>
    </row>
    <row r="614">
      <c r="A614" s="1" t="inlineStr">
        <is>
          <t>2021-05-21</t>
        </is>
      </c>
      <c r="B614" t="inlineStr">
        <is>
          <t>news</t>
        </is>
      </c>
      <c r="C614" t="inlineStr">
        <is>
          <t>economy</t>
        </is>
      </c>
      <c r="D614" t="inlineStr">
        <is>
          <t>뉴시스</t>
        </is>
      </c>
      <c r="E614" t="inlineStr">
        <is>
          <t>신항섭</t>
        </is>
      </c>
      <c r="F614" t="inlineStr">
        <is>
          <t>화승코퍼레이션 "자회사 R&amp;D 중심으로 미래 먹거리 발굴"</t>
        </is>
      </c>
      <c r="G614" s="2">
        <f>HYPERLINK("http://www.newsis.com/view/?id=NISX20210521_0001448542&amp;cID=10403&amp;pID=15000", "Go to Website")</f>
        <v/>
      </c>
      <c r="H614" t="inlineStr"/>
      <c r="I614" t="inlineStr">
        <is>
          <t>C20</t>
        </is>
      </c>
      <c r="J614" s="3" t="n">
        <v>0.955</v>
      </c>
      <c r="K614" t="inlineStr">
        <is>
          <t>화학 물질 및 화학제품 제조업; 의약품 제외</t>
        </is>
      </c>
      <c r="L614" t="inlineStr">
        <is>
          <t>0</t>
        </is>
      </c>
      <c r="M614" s="3" t="n">
        <v>0.865</v>
      </c>
      <c r="N614" t="inlineStr">
        <is>
          <t>중립</t>
        </is>
      </c>
    </row>
    <row r="615">
      <c r="A615" s="1" t="inlineStr">
        <is>
          <t>2021-05-21</t>
        </is>
      </c>
      <c r="B615" t="inlineStr">
        <is>
          <t>news</t>
        </is>
      </c>
      <c r="C615" t="inlineStr">
        <is>
          <t>economy</t>
        </is>
      </c>
      <c r="D615" t="inlineStr">
        <is>
          <t>SBS Biz</t>
        </is>
      </c>
      <c r="E615" t="inlineStr"/>
      <c r="F615" t="inlineStr">
        <is>
          <t>[이슈앤 직설] 文, 바이든과 첫 정상회담…관전 포인트는?</t>
        </is>
      </c>
      <c r="G615" s="2">
        <f>HYPERLINK("https://biz.sbs.co.kr/article_hub/20000016254", "Go to Website")</f>
        <v/>
      </c>
      <c r="H615" t="inlineStr"/>
      <c r="I615" t="inlineStr">
        <is>
          <t>Q86</t>
        </is>
      </c>
      <c r="J615" s="3" t="n">
        <v>0.974</v>
      </c>
      <c r="K615" t="inlineStr">
        <is>
          <t>보건업</t>
        </is>
      </c>
      <c r="L615" t="inlineStr">
        <is>
          <t>0</t>
        </is>
      </c>
      <c r="M615" s="3" t="n">
        <v>0.998</v>
      </c>
      <c r="N615" t="inlineStr">
        <is>
          <t>중립</t>
        </is>
      </c>
    </row>
    <row r="616">
      <c r="A616" s="1" t="inlineStr">
        <is>
          <t>2021-05-21</t>
        </is>
      </c>
      <c r="B616" t="inlineStr">
        <is>
          <t>news</t>
        </is>
      </c>
      <c r="C616" t="inlineStr">
        <is>
          <t>economy</t>
        </is>
      </c>
      <c r="D616" t="inlineStr">
        <is>
          <t>이코노미스트</t>
        </is>
      </c>
      <c r="E616" t="inlineStr">
        <is>
          <t>배동주</t>
        </is>
      </c>
      <c r="F616" t="inlineStr">
        <is>
          <t>원자재 ‘수퍼 사이클’에 인플레 조짐…“소비자 가격 반영 가능성”</t>
        </is>
      </c>
      <c r="G616" s="2">
        <f>HYPERLINK("https://economist.co.kr/2021/05/21/industry/normal/20210521105000220.html", "Go to Website")</f>
        <v/>
      </c>
      <c r="H616" t="inlineStr"/>
      <c r="I616" t="inlineStr">
        <is>
          <t>100</t>
        </is>
      </c>
      <c r="J616" s="3" t="n">
        <v>0.796</v>
      </c>
      <c r="K616" t="inlineStr">
        <is>
          <t>분류 제외, 기타</t>
        </is>
      </c>
      <c r="L616" t="inlineStr"/>
      <c r="M616" t="inlineStr"/>
      <c r="N616" t="inlineStr"/>
    </row>
    <row r="617">
      <c r="A617" s="1" t="inlineStr">
        <is>
          <t>2021-05-21</t>
        </is>
      </c>
      <c r="B617" t="inlineStr">
        <is>
          <t>news</t>
        </is>
      </c>
      <c r="C617" t="inlineStr">
        <is>
          <t>economy</t>
        </is>
      </c>
      <c r="D617" t="inlineStr">
        <is>
          <t>매일경제</t>
        </is>
      </c>
      <c r="E617" t="inlineStr">
        <is>
          <t>신유경</t>
        </is>
      </c>
      <c r="F617" t="inlineStr">
        <is>
          <t>유럽증시 상승세에 국내 자동차·2차전지株 달린다</t>
        </is>
      </c>
      <c r="G617" s="2">
        <f>HYPERLINK("http://news.mk.co.kr/newsRead.php?no=489804&amp;year=2021", "Go to Website")</f>
        <v/>
      </c>
      <c r="H617" t="inlineStr"/>
      <c r="I617" t="inlineStr">
        <is>
          <t>100</t>
        </is>
      </c>
      <c r="J617" s="3" t="n">
        <v>0.999</v>
      </c>
      <c r="K617" t="inlineStr">
        <is>
          <t>분류 제외, 기타</t>
        </is>
      </c>
      <c r="L617" t="inlineStr"/>
      <c r="M617" t="inlineStr"/>
      <c r="N617" t="inlineStr"/>
    </row>
    <row r="618">
      <c r="A618" s="1" t="inlineStr">
        <is>
          <t>2021-05-21</t>
        </is>
      </c>
      <c r="B618" t="inlineStr">
        <is>
          <t>news</t>
        </is>
      </c>
      <c r="C618" t="inlineStr">
        <is>
          <t>economy</t>
        </is>
      </c>
      <c r="D618" t="inlineStr">
        <is>
          <t>연합뉴스</t>
        </is>
      </c>
      <c r="E618" t="inlineStr">
        <is>
          <t>조정호</t>
        </is>
      </c>
      <c r="F618" t="inlineStr">
        <is>
          <t>화승소재 ESS 친환경 사업 진출…"미래 먹거리 발굴"</t>
        </is>
      </c>
      <c r="G618" s="2">
        <f>HYPERLINK("http://yna.kr/AKR20210521058100051?did=1195m", "Go to Website")</f>
        <v/>
      </c>
      <c r="H618" t="inlineStr"/>
      <c r="I618" t="inlineStr">
        <is>
          <t>C20</t>
        </is>
      </c>
      <c r="J618" s="3" t="n">
        <v>0.989</v>
      </c>
      <c r="K618" t="inlineStr">
        <is>
          <t>화학 물질 및 화학제품 제조업; 의약품 제외</t>
        </is>
      </c>
      <c r="L618" t="inlineStr">
        <is>
          <t>1</t>
        </is>
      </c>
      <c r="M618" s="3" t="n">
        <v>0.998</v>
      </c>
      <c r="N618" t="inlineStr">
        <is>
          <t>긍정</t>
        </is>
      </c>
    </row>
    <row r="619">
      <c r="A619" s="1" t="inlineStr">
        <is>
          <t>2021-05-21</t>
        </is>
      </c>
      <c r="B619" t="inlineStr">
        <is>
          <t>news</t>
        </is>
      </c>
      <c r="C619" t="inlineStr">
        <is>
          <t>economy</t>
        </is>
      </c>
      <c r="D619" t="inlineStr">
        <is>
          <t>뉴시스</t>
        </is>
      </c>
      <c r="E619" t="inlineStr">
        <is>
          <t>정윤아</t>
        </is>
      </c>
      <c r="F619" t="inlineStr">
        <is>
          <t>SK이노-포드·LG엔솔-GM 전기차 동맹…한·미 배터리 합종연횡 본격화</t>
        </is>
      </c>
      <c r="G619" s="2">
        <f>HYPERLINK("http://www.newsis.com/view/?id=NISX20210521_0001448471&amp;cID=13001&amp;pID=13000", "Go to Website")</f>
        <v/>
      </c>
      <c r="H619" t="inlineStr"/>
      <c r="I619" t="inlineStr">
        <is>
          <t>C26</t>
        </is>
      </c>
      <c r="J619" s="3" t="n">
        <v>0.383</v>
      </c>
      <c r="K619" t="inlineStr">
        <is>
          <t>전자 부품, 컴퓨터, 영상, 음향 및 통신장비 제조업</t>
        </is>
      </c>
      <c r="L619" t="inlineStr">
        <is>
          <t>1</t>
        </is>
      </c>
      <c r="M619" s="3" t="n">
        <v>0.929</v>
      </c>
      <c r="N619" t="inlineStr">
        <is>
          <t>긍정</t>
        </is>
      </c>
    </row>
    <row r="620">
      <c r="A620" s="1" t="inlineStr">
        <is>
          <t>2021-05-21</t>
        </is>
      </c>
      <c r="B620" t="inlineStr">
        <is>
          <t>news</t>
        </is>
      </c>
      <c r="C620" t="inlineStr">
        <is>
          <t>tech</t>
        </is>
      </c>
      <c r="D620" t="inlineStr">
        <is>
          <t>세계일보</t>
        </is>
      </c>
      <c r="E620" t="inlineStr">
        <is>
          <t>현화영</t>
        </is>
      </c>
      <c r="F620" t="inlineStr">
        <is>
          <t>SK이노, 포드와 6조원 들여 전기차용 배터리 만든다… 합작법인 설립</t>
        </is>
      </c>
      <c r="G620" s="2">
        <f>HYPERLINK("http://www.segye.com/content/html/2021/05/21/20210521505189.html", "Go to Website")</f>
        <v/>
      </c>
      <c r="H620" t="inlineStr"/>
      <c r="I620" t="inlineStr"/>
      <c r="J620" t="inlineStr"/>
      <c r="K620" t="inlineStr"/>
      <c r="L620" t="inlineStr"/>
      <c r="M620" t="inlineStr"/>
      <c r="N620" t="inlineStr"/>
    </row>
    <row r="621">
      <c r="A621" s="1" t="inlineStr">
        <is>
          <t>2021-05-21</t>
        </is>
      </c>
      <c r="B621" t="inlineStr">
        <is>
          <t>news</t>
        </is>
      </c>
      <c r="C621" t="inlineStr">
        <is>
          <t>economy</t>
        </is>
      </c>
      <c r="D621" t="inlineStr">
        <is>
          <t>머니투데이</t>
        </is>
      </c>
      <c r="E621" t="inlineStr">
        <is>
          <t>우경희</t>
        </is>
      </c>
      <c r="F621" t="inlineStr">
        <is>
          <t>다른데 말고 SK만 '콕', 文대통령은 왜 조지아 배터리공장을 찾나</t>
        </is>
      </c>
      <c r="G621" s="2">
        <f>HYPERLINK("http://news.mt.co.kr/mtview.php?no=2021052109504536390", "Go to Website")</f>
        <v/>
      </c>
      <c r="H621" t="inlineStr"/>
      <c r="I621" t="inlineStr">
        <is>
          <t>K64</t>
        </is>
      </c>
      <c r="J621" s="3" t="n">
        <v>0.881</v>
      </c>
      <c r="K621" t="inlineStr">
        <is>
          <t>금융업</t>
        </is>
      </c>
      <c r="L621" t="inlineStr">
        <is>
          <t>0</t>
        </is>
      </c>
      <c r="M621" s="3" t="n">
        <v>0.991</v>
      </c>
      <c r="N621" t="inlineStr">
        <is>
          <t>중립</t>
        </is>
      </c>
    </row>
    <row r="622">
      <c r="A622" s="1" t="inlineStr">
        <is>
          <t>2021-05-21</t>
        </is>
      </c>
      <c r="B622" t="inlineStr">
        <is>
          <t>news</t>
        </is>
      </c>
      <c r="C622" t="inlineStr">
        <is>
          <t>economy</t>
        </is>
      </c>
      <c r="D622" t="inlineStr">
        <is>
          <t>뉴시스</t>
        </is>
      </c>
      <c r="E622" t="inlineStr">
        <is>
          <t>김예진</t>
        </is>
      </c>
      <c r="F622" t="inlineStr">
        <is>
          <t>"잇따른 한미 전기차 배터리 연합에 日세력 가라앉을 수도"닛케이</t>
        </is>
      </c>
      <c r="G622" s="2">
        <f>HYPERLINK("http://www.newsis.com/view/?id=NISX20210521_0001448271&amp;cID=10101&amp;pID=10100", "Go to Website")</f>
        <v/>
      </c>
      <c r="H622" t="inlineStr"/>
      <c r="I622" t="inlineStr">
        <is>
          <t>C31</t>
        </is>
      </c>
      <c r="J622" s="3" t="n">
        <v>0.868</v>
      </c>
      <c r="K622" t="inlineStr">
        <is>
          <t>기타 운송장비 제조업</t>
        </is>
      </c>
      <c r="L622" t="inlineStr"/>
      <c r="M622" t="inlineStr"/>
      <c r="N622" t="inlineStr"/>
    </row>
    <row r="623">
      <c r="A623" s="1" t="inlineStr">
        <is>
          <t>2021-05-21</t>
        </is>
      </c>
      <c r="B623" t="inlineStr">
        <is>
          <t>news</t>
        </is>
      </c>
      <c r="C623" t="inlineStr">
        <is>
          <t>economy</t>
        </is>
      </c>
      <c r="D623" t="inlineStr">
        <is>
          <t>서울경제</t>
        </is>
      </c>
      <c r="E623" t="inlineStr">
        <is>
          <t>이혜진</t>
        </is>
      </c>
      <c r="F623" t="inlineStr">
        <is>
          <t>키움 차세대 모빌리티 펀드, 설정액 1,000억원 돌파</t>
        </is>
      </c>
      <c r="G623" s="2">
        <f>HYPERLINK("https://www.sedaily.com/NewsView/22MG2X3WY2", "Go to Website")</f>
        <v/>
      </c>
      <c r="H623" t="inlineStr"/>
      <c r="I623" t="inlineStr">
        <is>
          <t>K64</t>
        </is>
      </c>
      <c r="J623" s="3" t="n">
        <v>0.994</v>
      </c>
      <c r="K623" t="inlineStr">
        <is>
          <t>금융업</t>
        </is>
      </c>
      <c r="L623" t="inlineStr">
        <is>
          <t>1</t>
        </is>
      </c>
      <c r="M623" s="3" t="n">
        <v>0.846</v>
      </c>
      <c r="N623" t="inlineStr">
        <is>
          <t>긍정</t>
        </is>
      </c>
    </row>
    <row r="624">
      <c r="A624" s="1" t="inlineStr">
        <is>
          <t>2021-05-21</t>
        </is>
      </c>
      <c r="B624" t="inlineStr">
        <is>
          <t>news</t>
        </is>
      </c>
      <c r="C624" t="inlineStr">
        <is>
          <t>economy</t>
        </is>
      </c>
      <c r="D624" t="inlineStr">
        <is>
          <t>문화일보</t>
        </is>
      </c>
      <c r="E624" t="inlineStr">
        <is>
          <t>임대환</t>
        </is>
      </c>
      <c r="F624" t="inlineStr">
        <is>
          <t>신한銀 ‘Zero Carbon ·Zero Fuel’ 선언</t>
        </is>
      </c>
      <c r="G624" s="2">
        <f>HYPERLINK("http://www.munhwa.com/news/view.html?no=20210521MW101128887225", "Go to Website")</f>
        <v/>
      </c>
      <c r="H624" t="inlineStr"/>
      <c r="I624" t="inlineStr">
        <is>
          <t>C28</t>
        </is>
      </c>
      <c r="J624" s="3" t="n">
        <v>0.948</v>
      </c>
      <c r="K624" t="inlineStr">
        <is>
          <t>전기장비 제조업</t>
        </is>
      </c>
      <c r="L624" t="inlineStr">
        <is>
          <t>0</t>
        </is>
      </c>
      <c r="M624" s="3" t="n">
        <v>0.99</v>
      </c>
      <c r="N624" t="inlineStr">
        <is>
          <t>중립</t>
        </is>
      </c>
    </row>
    <row r="625">
      <c r="A625" s="1" t="inlineStr">
        <is>
          <t>2021-05-21</t>
        </is>
      </c>
      <c r="B625" t="inlineStr">
        <is>
          <t>news</t>
        </is>
      </c>
      <c r="C625" t="inlineStr">
        <is>
          <t>economy</t>
        </is>
      </c>
      <c r="D625" t="inlineStr">
        <is>
          <t>비즈니스워치</t>
        </is>
      </c>
      <c r="E625" t="inlineStr"/>
      <c r="F625" t="inlineStr">
        <is>
          <t>SK-포드, 전기차 함께 달린다…'미국서 6조 합작'</t>
        </is>
      </c>
      <c r="G625" s="2">
        <f>HYPERLINK("http://news.bizwatch.co.kr/article/industry/2021/05/21/0002", "Go to Website")</f>
        <v/>
      </c>
      <c r="H625" t="inlineStr"/>
      <c r="I625" t="inlineStr">
        <is>
          <t>C31</t>
        </is>
      </c>
      <c r="J625" s="3" t="n">
        <v>0.493</v>
      </c>
      <c r="K625" t="inlineStr">
        <is>
          <t>기타 운송장비 제조업</t>
        </is>
      </c>
      <c r="L625" t="inlineStr">
        <is>
          <t>1</t>
        </is>
      </c>
      <c r="M625" s="3" t="n">
        <v>0.886</v>
      </c>
      <c r="N625" t="inlineStr">
        <is>
          <t>긍정</t>
        </is>
      </c>
    </row>
    <row r="626">
      <c r="A626" s="1" t="inlineStr">
        <is>
          <t>2021-05-21</t>
        </is>
      </c>
      <c r="B626" t="inlineStr">
        <is>
          <t>news</t>
        </is>
      </c>
      <c r="C626" t="inlineStr">
        <is>
          <t>economy</t>
        </is>
      </c>
      <c r="D626" t="inlineStr">
        <is>
          <t>머니S</t>
        </is>
      </c>
      <c r="E626" t="inlineStr">
        <is>
          <t>권가림</t>
        </is>
      </c>
      <c r="F626" t="inlineStr">
        <is>
          <t>전기차·배터리 1위 중국에… 韓배터리·美완성차업체 '동맹' 맞대응</t>
        </is>
      </c>
      <c r="G626" s="2">
        <f>HYPERLINK("http://moneys.mt.co.kr/news/mwView.php?no=2021052109598033454", "Go to Website")</f>
        <v/>
      </c>
      <c r="H626" t="inlineStr"/>
      <c r="I626" t="inlineStr">
        <is>
          <t>K64</t>
        </is>
      </c>
      <c r="J626" s="3" t="n">
        <v>0.508</v>
      </c>
      <c r="K626" t="inlineStr">
        <is>
          <t>금융업</t>
        </is>
      </c>
      <c r="L626" t="inlineStr"/>
      <c r="M626" t="inlineStr"/>
      <c r="N626" t="inlineStr"/>
    </row>
    <row r="627">
      <c r="A627" s="1" t="inlineStr">
        <is>
          <t>2021-05-21</t>
        </is>
      </c>
      <c r="B627" t="inlineStr">
        <is>
          <t>news</t>
        </is>
      </c>
      <c r="C627" t="inlineStr">
        <is>
          <t>economy</t>
        </is>
      </c>
      <c r="D627" t="inlineStr">
        <is>
          <t>뉴스1</t>
        </is>
      </c>
      <c r="E627" t="inlineStr">
        <is>
          <t>류정민</t>
        </is>
      </c>
      <c r="F627" t="inlineStr">
        <is>
          <t>SK, 포드와 대규모 배터리 합작…'K 배터리' 미국 내 영향력 ↑</t>
        </is>
      </c>
      <c r="G627" s="2">
        <f>HYPERLINK("https://www.news1.kr/articles/?4313251", "Go to Website")</f>
        <v/>
      </c>
      <c r="H627" t="inlineStr"/>
      <c r="I627" t="inlineStr">
        <is>
          <t>K64</t>
        </is>
      </c>
      <c r="J627" s="3" t="n">
        <v>0.949</v>
      </c>
      <c r="K627" t="inlineStr">
        <is>
          <t>금융업</t>
        </is>
      </c>
      <c r="L627" t="inlineStr">
        <is>
          <t>1</t>
        </is>
      </c>
      <c r="M627" s="3" t="n">
        <v>0.987</v>
      </c>
      <c r="N627" t="inlineStr">
        <is>
          <t>긍정</t>
        </is>
      </c>
    </row>
    <row r="628">
      <c r="A628" s="1" t="inlineStr">
        <is>
          <t>2021-05-21</t>
        </is>
      </c>
      <c r="B628" t="inlineStr">
        <is>
          <t>news</t>
        </is>
      </c>
      <c r="C628" t="inlineStr">
        <is>
          <t>economy</t>
        </is>
      </c>
      <c r="D628" t="inlineStr">
        <is>
          <t>이데일리</t>
        </is>
      </c>
      <c r="E628" t="inlineStr">
        <is>
          <t>경계영</t>
        </is>
      </c>
      <c r="F628" t="inlineStr">
        <is>
          <t>세계 3대 전지산업전 '인터배터리 2021' 내달 9~11일</t>
        </is>
      </c>
      <c r="G628" s="2">
        <f>HYPERLINK("http://www.edaily.co.kr/news/newspath.asp?newsid=01722006629051216", "Go to Website")</f>
        <v/>
      </c>
      <c r="H628" t="inlineStr"/>
      <c r="I628" t="inlineStr">
        <is>
          <t>100</t>
        </is>
      </c>
      <c r="J628" s="3" t="n">
        <v>0.574</v>
      </c>
      <c r="K628" t="inlineStr">
        <is>
          <t>분류 제외, 기타</t>
        </is>
      </c>
      <c r="L628" t="inlineStr"/>
      <c r="M628" t="inlineStr"/>
      <c r="N628" t="inlineStr"/>
    </row>
    <row r="629">
      <c r="A629" s="1" t="inlineStr">
        <is>
          <t>2021-05-21</t>
        </is>
      </c>
      <c r="B629" t="inlineStr">
        <is>
          <t>news</t>
        </is>
      </c>
      <c r="C629" t="inlineStr">
        <is>
          <t>economy</t>
        </is>
      </c>
      <c r="D629" t="inlineStr">
        <is>
          <t>파이낸셜뉴스</t>
        </is>
      </c>
      <c r="E629" t="inlineStr">
        <is>
          <t>안태호</t>
        </is>
      </c>
      <c r="F629" t="inlineStr">
        <is>
          <t>韓배터리 3사 한자리에 모인다..'인터배터리 2021' 개최</t>
        </is>
      </c>
      <c r="G629" s="2">
        <f>HYPERLINK("http://www.fnnews.com/news/202105210837197898", "Go to Website")</f>
        <v/>
      </c>
      <c r="H629" t="inlineStr"/>
      <c r="I629" t="inlineStr">
        <is>
          <t>C28</t>
        </is>
      </c>
      <c r="J629" s="3" t="n">
        <v>0.973</v>
      </c>
      <c r="K629" t="inlineStr">
        <is>
          <t>전기장비 제조업</t>
        </is>
      </c>
      <c r="L629" t="inlineStr"/>
      <c r="M629" t="inlineStr"/>
      <c r="N629" t="inlineStr"/>
    </row>
    <row r="630">
      <c r="A630" s="1" t="inlineStr">
        <is>
          <t>2021-05-21</t>
        </is>
      </c>
      <c r="B630" t="inlineStr">
        <is>
          <t>news</t>
        </is>
      </c>
      <c r="C630" t="inlineStr">
        <is>
          <t>economy</t>
        </is>
      </c>
      <c r="D630" t="inlineStr">
        <is>
          <t>뉴시스</t>
        </is>
      </c>
      <c r="E630" t="inlineStr">
        <is>
          <t>신효령</t>
        </is>
      </c>
      <c r="F630" t="inlineStr">
        <is>
          <t>정태영 현대캐피탈 부회장의 ESG 경영…업계 선도한다</t>
        </is>
      </c>
      <c r="G630" s="2">
        <f>HYPERLINK("http://www.newsis.com/view/?id=NISX20210521_0001448417&amp;cID=15001&amp;pID=15000", "Go to Website")</f>
        <v/>
      </c>
      <c r="H630" t="inlineStr"/>
      <c r="I630" t="inlineStr">
        <is>
          <t>K64</t>
        </is>
      </c>
      <c r="J630" s="3" t="n">
        <v>1</v>
      </c>
      <c r="K630" t="inlineStr">
        <is>
          <t>금융업</t>
        </is>
      </c>
      <c r="L630" t="inlineStr"/>
      <c r="M630" t="inlineStr"/>
      <c r="N630" t="inlineStr"/>
    </row>
    <row r="631">
      <c r="A631" s="1" t="inlineStr">
        <is>
          <t>2021-05-21</t>
        </is>
      </c>
      <c r="B631" t="inlineStr">
        <is>
          <t>news</t>
        </is>
      </c>
      <c r="C631" t="inlineStr">
        <is>
          <t>economy</t>
        </is>
      </c>
      <c r="D631" t="inlineStr">
        <is>
          <t>중앙일보</t>
        </is>
      </c>
      <c r="E631" t="inlineStr"/>
      <c r="F631" t="inlineStr">
        <is>
          <t>[앤츠랩]동박이 대박이래…2차전지 떡잎주, 될성부르다</t>
        </is>
      </c>
      <c r="G631" s="2">
        <f>HYPERLINK("https://news.joins.com/article/olink/23657783", "Go to Website")</f>
        <v/>
      </c>
      <c r="H631" t="inlineStr"/>
      <c r="I631" t="inlineStr">
        <is>
          <t>C26</t>
        </is>
      </c>
      <c r="J631" s="3" t="n">
        <v>0.71</v>
      </c>
      <c r="K631" t="inlineStr">
        <is>
          <t>전자 부품, 컴퓨터, 영상, 음향 및 통신장비 제조업</t>
        </is>
      </c>
      <c r="L631" t="inlineStr"/>
      <c r="M631" t="inlineStr"/>
      <c r="N631" t="inlineStr"/>
    </row>
    <row r="632">
      <c r="A632" s="1" t="inlineStr">
        <is>
          <t>2021-05-21</t>
        </is>
      </c>
      <c r="B632" t="inlineStr">
        <is>
          <t>news</t>
        </is>
      </c>
      <c r="C632" t="inlineStr">
        <is>
          <t>economy</t>
        </is>
      </c>
      <c r="D632" t="inlineStr">
        <is>
          <t>동아일보</t>
        </is>
      </c>
      <c r="E632" t="inlineStr">
        <is>
          <t>김민범</t>
        </is>
      </c>
      <c r="F632" t="inlineStr">
        <is>
          <t>[단독]상장 변수로 떠오른 ‘ESS 화재’… LG에너지솔루션, 추가 충당금 비용 4000억 이상 발생</t>
        </is>
      </c>
      <c r="G632" s="2">
        <f>HYPERLINK("https://www.donga.com/news/article/all/20210521/107043129/1", "Go to Website")</f>
        <v/>
      </c>
      <c r="H632" t="inlineStr"/>
      <c r="I632" t="inlineStr">
        <is>
          <t>C20</t>
        </is>
      </c>
      <c r="J632" s="3" t="n">
        <v>0.722</v>
      </c>
      <c r="K632" t="inlineStr">
        <is>
          <t>화학 물질 및 화학제품 제조업; 의약품 제외</t>
        </is>
      </c>
      <c r="L632" t="inlineStr"/>
      <c r="M632" t="inlineStr"/>
      <c r="N632" t="inlineStr"/>
    </row>
    <row r="633">
      <c r="A633" s="1" t="inlineStr">
        <is>
          <t>2021-05-21</t>
        </is>
      </c>
      <c r="B633" t="inlineStr">
        <is>
          <t>news</t>
        </is>
      </c>
      <c r="C633" t="inlineStr">
        <is>
          <t>economy</t>
        </is>
      </c>
      <c r="D633" t="inlineStr">
        <is>
          <t>아시아경제</t>
        </is>
      </c>
      <c r="E633" t="inlineStr">
        <is>
          <t>유현석</t>
        </is>
      </c>
      <c r="F633" t="inlineStr">
        <is>
          <t>[특징주]티플랙스, 스테인리스 가격 상승…실석 성장 '사이클'</t>
        </is>
      </c>
      <c r="G633" s="2">
        <f>HYPERLINK("https://view.asiae.co.kr/article/2021052109241037361", "Go to Website")</f>
        <v/>
      </c>
      <c r="H633" t="inlineStr"/>
      <c r="I633" t="inlineStr">
        <is>
          <t>100</t>
        </is>
      </c>
      <c r="J633" s="3" t="n">
        <v>1</v>
      </c>
      <c r="K633" t="inlineStr">
        <is>
          <t>분류 제외, 기타</t>
        </is>
      </c>
      <c r="L633" t="inlineStr">
        <is>
          <t>1</t>
        </is>
      </c>
      <c r="M633" s="3" t="n">
        <v>0.981</v>
      </c>
      <c r="N633" t="inlineStr">
        <is>
          <t>긍정</t>
        </is>
      </c>
    </row>
    <row r="634">
      <c r="A634" s="1" t="inlineStr">
        <is>
          <t>2021-05-21</t>
        </is>
      </c>
      <c r="B634" t="inlineStr">
        <is>
          <t>news</t>
        </is>
      </c>
      <c r="C634" t="inlineStr">
        <is>
          <t>economy</t>
        </is>
      </c>
      <c r="D634" t="inlineStr">
        <is>
          <t>이데일리</t>
        </is>
      </c>
      <c r="E634" t="inlineStr">
        <is>
          <t>이은정</t>
        </is>
      </c>
      <c r="F634" t="inlineStr">
        <is>
          <t>코스닥, 美기술주 강세 속 3거래일째 상승…‘970선'</t>
        </is>
      </c>
      <c r="G634" s="2">
        <f>HYPERLINK("http://www.edaily.co.kr/news/newspath.asp?newsid=01600646629051216", "Go to Website")</f>
        <v/>
      </c>
      <c r="H634" t="inlineStr"/>
      <c r="I634" t="inlineStr">
        <is>
          <t>100</t>
        </is>
      </c>
      <c r="J634" s="3" t="n">
        <v>0.856</v>
      </c>
      <c r="K634" t="inlineStr">
        <is>
          <t>분류 제외, 기타</t>
        </is>
      </c>
      <c r="L634" t="inlineStr"/>
      <c r="M634" t="inlineStr"/>
      <c r="N634" t="inlineStr"/>
    </row>
    <row r="635">
      <c r="A635" s="1" t="inlineStr">
        <is>
          <t>2021-05-21</t>
        </is>
      </c>
      <c r="B635" t="inlineStr">
        <is>
          <t>news</t>
        </is>
      </c>
      <c r="C635" t="inlineStr">
        <is>
          <t>economy</t>
        </is>
      </c>
      <c r="D635" t="inlineStr">
        <is>
          <t>세계일보</t>
        </is>
      </c>
      <c r="E635" t="inlineStr">
        <is>
          <t>김경호</t>
        </is>
      </c>
      <c r="F635" t="inlineStr">
        <is>
          <t>‘도지코인 1달러 간다?’ 머스크 또 시작된 장난질…“입 닥쳐라” 쏟아진 비난</t>
        </is>
      </c>
      <c r="G635" s="2">
        <f>HYPERLINK("http://www.segye.com/content/html/2021/05/21/20210521503742.html", "Go to Website")</f>
        <v/>
      </c>
      <c r="H635" t="inlineStr"/>
      <c r="I635" t="inlineStr">
        <is>
          <t>C29</t>
        </is>
      </c>
      <c r="J635" s="3" t="n">
        <v>0.446</v>
      </c>
      <c r="K635" t="inlineStr">
        <is>
          <t>기타 기계 및 장비 제조업</t>
        </is>
      </c>
      <c r="L635" t="inlineStr"/>
      <c r="M635" t="inlineStr"/>
      <c r="N635" t="inlineStr"/>
    </row>
    <row r="636">
      <c r="A636" s="1" t="inlineStr">
        <is>
          <t>2021-05-21</t>
        </is>
      </c>
      <c r="B636" t="inlineStr">
        <is>
          <t>news</t>
        </is>
      </c>
      <c r="C636" t="inlineStr">
        <is>
          <t>economy</t>
        </is>
      </c>
      <c r="D636" t="inlineStr">
        <is>
          <t>SBS Biz</t>
        </is>
      </c>
      <c r="E636" t="inlineStr"/>
      <c r="F636" t="inlineStr">
        <is>
          <t>한미 정상회담에 쏠린 눈…반도체 재료·부품주 기대 ↑</t>
        </is>
      </c>
      <c r="G636" s="2">
        <f>HYPERLINK("https://biz.sbs.co.kr/article_hub/20000016251", "Go to Website")</f>
        <v/>
      </c>
      <c r="H636" t="inlineStr"/>
      <c r="I636" t="inlineStr">
        <is>
          <t>C29</t>
        </is>
      </c>
      <c r="J636" s="3" t="n">
        <v>0.875</v>
      </c>
      <c r="K636" t="inlineStr">
        <is>
          <t>기타 기계 및 장비 제조업</t>
        </is>
      </c>
      <c r="L636" t="inlineStr"/>
      <c r="M636" t="inlineStr"/>
      <c r="N636" t="inlineStr"/>
    </row>
    <row r="637">
      <c r="A637" s="1" t="inlineStr">
        <is>
          <t>2021-05-21</t>
        </is>
      </c>
      <c r="B637" t="inlineStr">
        <is>
          <t>news</t>
        </is>
      </c>
      <c r="C637" t="inlineStr">
        <is>
          <t>economy</t>
        </is>
      </c>
      <c r="D637" t="inlineStr">
        <is>
          <t>조선일보</t>
        </is>
      </c>
      <c r="E637" t="inlineStr">
        <is>
          <t>장근욱</t>
        </is>
      </c>
      <c r="F637" t="inlineStr">
        <is>
          <t>도지코인 1달러 간다? 머스크 트윗에 또 15% 급등</t>
        </is>
      </c>
      <c r="G637" s="2">
        <f>HYPERLINK("https://www.chosun.com/economy/int_economy/2021/05/21/HDH43L7KTNFATAXAHYAHLPKZEE/?utm_medium=referral&amp;utm_campaign=naver-news", "Go to Website")</f>
        <v/>
      </c>
      <c r="H637" t="inlineStr"/>
      <c r="I637" t="inlineStr">
        <is>
          <t>100</t>
        </is>
      </c>
      <c r="J637" s="3" t="n">
        <v>0.401</v>
      </c>
      <c r="K637" t="inlineStr">
        <is>
          <t>분류 제외, 기타</t>
        </is>
      </c>
      <c r="L637" t="inlineStr"/>
      <c r="M637" t="inlineStr"/>
      <c r="N637" t="inlineStr"/>
    </row>
    <row r="638">
      <c r="A638" s="1" t="inlineStr">
        <is>
          <t>2021-05-21</t>
        </is>
      </c>
      <c r="B638" t="inlineStr">
        <is>
          <t>news</t>
        </is>
      </c>
      <c r="C638" t="inlineStr">
        <is>
          <t>economy</t>
        </is>
      </c>
      <c r="D638" t="inlineStr">
        <is>
          <t>디지털타임스</t>
        </is>
      </c>
      <c r="E638" t="inlineStr">
        <is>
          <t>구본규</t>
        </is>
      </c>
      <c r="F638" t="inlineStr">
        <is>
          <t>오는 28일, 청약 막 올리는 화성 ‘향남역 한양수자인 디에스티지’ 관심 높아</t>
        </is>
      </c>
      <c r="G638" s="2">
        <f>HYPERLINK("http://www.dt.co.kr/contents.html?article_no=2021052002109919041001", "Go to Website")</f>
        <v/>
      </c>
      <c r="H638" t="inlineStr"/>
      <c r="I638" t="inlineStr">
        <is>
          <t>H50</t>
        </is>
      </c>
      <c r="J638" s="3" t="n">
        <v>0.589</v>
      </c>
      <c r="K638" t="inlineStr">
        <is>
          <t>수상 운송업</t>
        </is>
      </c>
      <c r="L638" t="inlineStr">
        <is>
          <t>0</t>
        </is>
      </c>
      <c r="M638" s="3" t="n">
        <v>0.995</v>
      </c>
      <c r="N638" t="inlineStr">
        <is>
          <t>중립</t>
        </is>
      </c>
    </row>
    <row r="639">
      <c r="A639" s="1" t="inlineStr">
        <is>
          <t>2021-05-21</t>
        </is>
      </c>
      <c r="B639" t="inlineStr">
        <is>
          <t>news</t>
        </is>
      </c>
      <c r="C639" t="inlineStr">
        <is>
          <t>economy</t>
        </is>
      </c>
      <c r="D639" t="inlineStr">
        <is>
          <t>한국일보</t>
        </is>
      </c>
      <c r="E639" t="inlineStr">
        <is>
          <t>류호</t>
        </is>
      </c>
      <c r="F639" t="inlineStr">
        <is>
          <t>'K배터리' 힘 싣는 문 대통령… 해외 생산기지 방문의 정치학</t>
        </is>
      </c>
      <c r="G639" s="2">
        <f>HYPERLINK("https://hankookilbo.com/News/Read/A2021051915360004891?did=NA", "Go to Website")</f>
        <v/>
      </c>
      <c r="H639" t="inlineStr"/>
      <c r="I639" t="inlineStr">
        <is>
          <t>K64</t>
        </is>
      </c>
      <c r="J639" s="3" t="n">
        <v>0.953</v>
      </c>
      <c r="K639" t="inlineStr">
        <is>
          <t>금융업</t>
        </is>
      </c>
      <c r="L639" t="inlineStr"/>
      <c r="M639" t="inlineStr"/>
      <c r="N639" t="inlineStr"/>
    </row>
    <row r="640">
      <c r="A640" s="1" t="inlineStr">
        <is>
          <t>2021-05-21</t>
        </is>
      </c>
      <c r="B640" t="inlineStr">
        <is>
          <t>news</t>
        </is>
      </c>
      <c r="C640" t="inlineStr">
        <is>
          <t>economy</t>
        </is>
      </c>
      <c r="D640" t="inlineStr">
        <is>
          <t>동아일보</t>
        </is>
      </c>
      <c r="E640" t="inlineStr">
        <is>
          <t>정진수</t>
        </is>
      </c>
      <c r="F640" t="inlineStr">
        <is>
          <t>‘xEV 트렌드 코리아 2021’ 온라인 사전등록 시작</t>
        </is>
      </c>
      <c r="G640" s="2">
        <f>HYPERLINK("https://www.donga.com/news/article/all/20210521/107042277/2", "Go to Website")</f>
        <v/>
      </c>
      <c r="H640" t="inlineStr"/>
      <c r="I640" t="inlineStr">
        <is>
          <t>C30</t>
        </is>
      </c>
      <c r="J640" s="3" t="n">
        <v>0.833</v>
      </c>
      <c r="K640" t="inlineStr">
        <is>
          <t>자동차 및 트레일러 제조업</t>
        </is>
      </c>
      <c r="L640" t="inlineStr"/>
      <c r="M640" t="inlineStr"/>
      <c r="N640" t="inlineStr"/>
    </row>
    <row r="641">
      <c r="A641" s="1" t="inlineStr">
        <is>
          <t>2021-05-21</t>
        </is>
      </c>
      <c r="B641" t="inlineStr">
        <is>
          <t>news</t>
        </is>
      </c>
      <c r="C641" t="inlineStr">
        <is>
          <t>economy</t>
        </is>
      </c>
      <c r="D641" t="inlineStr">
        <is>
          <t>SBS Biz</t>
        </is>
      </c>
      <c r="E641" t="inlineStr">
        <is>
          <t>전서인</t>
        </is>
      </c>
      <c r="F641" t="inlineStr">
        <is>
          <t>[오늘 기업 오늘 사람] SK이노베이션·현대제철·삼성전자·대한항공</t>
        </is>
      </c>
      <c r="G641" s="2">
        <f>HYPERLINK("https://biz.sbs.co.kr/article_hub/20000016245", "Go to Website")</f>
        <v/>
      </c>
      <c r="H641" t="inlineStr"/>
      <c r="I641" t="inlineStr">
        <is>
          <t>K64</t>
        </is>
      </c>
      <c r="J641" s="3" t="n">
        <v>0.6879999999999999</v>
      </c>
      <c r="K641" t="inlineStr">
        <is>
          <t>금융업</t>
        </is>
      </c>
      <c r="L641" t="inlineStr"/>
      <c r="M641" t="inlineStr"/>
      <c r="N641" t="inlineStr"/>
    </row>
    <row r="642">
      <c r="A642" s="1" t="inlineStr">
        <is>
          <t>2021-05-21</t>
        </is>
      </c>
      <c r="B642" t="inlineStr">
        <is>
          <t>news</t>
        </is>
      </c>
      <c r="C642" t="inlineStr">
        <is>
          <t>economy</t>
        </is>
      </c>
      <c r="D642" t="inlineStr">
        <is>
          <t>한국경제TV</t>
        </is>
      </c>
      <c r="E642" t="inlineStr">
        <is>
          <t>이민재</t>
        </is>
      </c>
      <c r="F642" t="inlineStr">
        <is>
          <t>"암호화폐 반등, 韓증시에 긍정적 영향"</t>
        </is>
      </c>
      <c r="G642" s="2">
        <f>HYPERLINK("http://www.wowtv.co.kr/NewsCenter/News/Read?articleId=A202105210042&amp;t=NN", "Go to Website")</f>
        <v/>
      </c>
      <c r="H642" t="inlineStr"/>
      <c r="I642" t="inlineStr">
        <is>
          <t>C26</t>
        </is>
      </c>
      <c r="J642" s="3" t="n">
        <v>0.508</v>
      </c>
      <c r="K642" t="inlineStr">
        <is>
          <t>전자 부품, 컴퓨터, 영상, 음향 및 통신장비 제조업</t>
        </is>
      </c>
      <c r="L642" t="inlineStr"/>
      <c r="M642" t="inlineStr"/>
      <c r="N642" t="inlineStr"/>
    </row>
    <row r="643">
      <c r="A643" s="1" t="inlineStr">
        <is>
          <t>2021-05-21</t>
        </is>
      </c>
      <c r="B643" t="inlineStr">
        <is>
          <t>news</t>
        </is>
      </c>
      <c r="C643" t="inlineStr">
        <is>
          <t>economy</t>
        </is>
      </c>
      <c r="D643" t="inlineStr">
        <is>
          <t>아이뉴스24</t>
        </is>
      </c>
      <c r="E643" t="inlineStr">
        <is>
          <t>김종성</t>
        </is>
      </c>
      <c r="F643" t="inlineStr">
        <is>
          <t>비에이치, 하반기 본격적인 실적 반등 전망-신한금융투자</t>
        </is>
      </c>
      <c r="G643" s="2">
        <f>HYPERLINK("http://www.inews24.com/view/1368817", "Go to Website")</f>
        <v/>
      </c>
      <c r="H643" t="inlineStr"/>
      <c r="I643" t="inlineStr">
        <is>
          <t>C24</t>
        </is>
      </c>
      <c r="J643" s="3" t="n">
        <v>0.43</v>
      </c>
      <c r="K643" t="inlineStr">
        <is>
          <t>1차 금속 제조업</t>
        </is>
      </c>
      <c r="L643" t="inlineStr">
        <is>
          <t>1</t>
        </is>
      </c>
      <c r="M643" s="3" t="n">
        <v>0.987</v>
      </c>
      <c r="N643" t="inlineStr">
        <is>
          <t>긍정</t>
        </is>
      </c>
    </row>
    <row r="644">
      <c r="A644" s="1" t="inlineStr">
        <is>
          <t>2021-05-21</t>
        </is>
      </c>
      <c r="B644" t="inlineStr">
        <is>
          <t>news</t>
        </is>
      </c>
      <c r="C644" t="inlineStr">
        <is>
          <t>economy</t>
        </is>
      </c>
      <c r="D644" t="inlineStr">
        <is>
          <t>KBS</t>
        </is>
      </c>
      <c r="E644" t="inlineStr"/>
      <c r="F644" t="inlineStr">
        <is>
          <t>청주시, 친환경 자동차 구매 보조금 추가 지원</t>
        </is>
      </c>
      <c r="G644" s="2">
        <f>HYPERLINK("https://news.kbs.co.kr/news/view.do?ncd=5190816&amp;ref=A", "Go to Website")</f>
        <v/>
      </c>
      <c r="H644" t="inlineStr"/>
      <c r="I644" t="inlineStr">
        <is>
          <t>C30</t>
        </is>
      </c>
      <c r="J644" s="3" t="n">
        <v>0.903</v>
      </c>
      <c r="K644" t="inlineStr">
        <is>
          <t>자동차 및 트레일러 제조업</t>
        </is>
      </c>
      <c r="L644" t="inlineStr"/>
      <c r="M644" t="inlineStr"/>
      <c r="N644" t="inlineStr"/>
    </row>
    <row r="645">
      <c r="A645" s="1" t="inlineStr">
        <is>
          <t>2021-05-21</t>
        </is>
      </c>
      <c r="B645" t="inlineStr">
        <is>
          <t>news</t>
        </is>
      </c>
      <c r="C645" t="inlineStr">
        <is>
          <t>economy</t>
        </is>
      </c>
      <c r="D645" t="inlineStr">
        <is>
          <t>파이낸셜뉴스</t>
        </is>
      </c>
      <c r="E645" t="inlineStr">
        <is>
          <t>최두선</t>
        </is>
      </c>
      <c r="F645" t="inlineStr">
        <is>
          <t>티플랙스, 분기 최대 매출 속 스테인리스 가격 인상 주목-KB증권</t>
        </is>
      </c>
      <c r="G645" s="2">
        <f>HYPERLINK("http://www.fnnews.com/news/202105210831110109", "Go to Website")</f>
        <v/>
      </c>
      <c r="H645" t="inlineStr"/>
      <c r="I645" t="inlineStr">
        <is>
          <t>100</t>
        </is>
      </c>
      <c r="J645" s="3" t="n">
        <v>1</v>
      </c>
      <c r="K645" t="inlineStr">
        <is>
          <t>분류 제외, 기타</t>
        </is>
      </c>
      <c r="L645" t="inlineStr">
        <is>
          <t>1</t>
        </is>
      </c>
      <c r="M645" s="3" t="n">
        <v>0.885</v>
      </c>
      <c r="N645" t="inlineStr">
        <is>
          <t>긍정</t>
        </is>
      </c>
    </row>
    <row r="646">
      <c r="A646" s="1" t="inlineStr">
        <is>
          <t>2021-05-21</t>
        </is>
      </c>
      <c r="B646" t="inlineStr">
        <is>
          <t>news</t>
        </is>
      </c>
      <c r="C646" t="inlineStr">
        <is>
          <t>economy</t>
        </is>
      </c>
      <c r="D646" t="inlineStr">
        <is>
          <t>디지털타임스</t>
        </is>
      </c>
      <c r="E646" t="inlineStr">
        <is>
          <t>이윤형</t>
        </is>
      </c>
      <c r="F646" t="inlineStr">
        <is>
          <t>혁신기술 중매자 금융권…스타트업 육성 `지속 발전`에 초점</t>
        </is>
      </c>
      <c r="G646" s="2">
        <f>HYPERLINK("http://www.dt.co.kr/contents.html?article_no=2021052102109963077003", "Go to Website")</f>
        <v/>
      </c>
      <c r="H646" t="inlineStr"/>
      <c r="I646" t="inlineStr">
        <is>
          <t>K64</t>
        </is>
      </c>
      <c r="J646" s="3" t="n">
        <v>0.371</v>
      </c>
      <c r="K646" t="inlineStr">
        <is>
          <t>금융업</t>
        </is>
      </c>
      <c r="L646" t="inlineStr"/>
      <c r="M646" t="inlineStr"/>
      <c r="N646" t="inlineStr"/>
    </row>
    <row r="647">
      <c r="A647" s="1" t="inlineStr">
        <is>
          <t>2021-05-21</t>
        </is>
      </c>
      <c r="B647" t="inlineStr">
        <is>
          <t>news</t>
        </is>
      </c>
      <c r="C647" t="inlineStr">
        <is>
          <t>economy</t>
        </is>
      </c>
      <c r="D647" t="inlineStr">
        <is>
          <t>SBS Biz</t>
        </is>
      </c>
      <c r="E647" t="inlineStr"/>
      <c r="F647" t="inlineStr">
        <is>
          <t>[모닝 인사이트] “가상자산 변동성이 오히려 장점…비트코인 전성기 끝났다”</t>
        </is>
      </c>
      <c r="G647" s="2">
        <f>HYPERLINK("https://biz.sbs.co.kr/article_hub/20000016243", "Go to Website")</f>
        <v/>
      </c>
      <c r="H647" t="inlineStr"/>
      <c r="I647" t="inlineStr">
        <is>
          <t>L68</t>
        </is>
      </c>
      <c r="J647" s="3" t="n">
        <v>0.371</v>
      </c>
      <c r="K647" t="inlineStr">
        <is>
          <t>부동산업</t>
        </is>
      </c>
      <c r="L647" t="inlineStr">
        <is>
          <t>0</t>
        </is>
      </c>
      <c r="M647" s="3" t="n">
        <v>1</v>
      </c>
      <c r="N647" t="inlineStr">
        <is>
          <t>중립</t>
        </is>
      </c>
    </row>
    <row r="648">
      <c r="A648" s="1" t="inlineStr">
        <is>
          <t>2021-05-21</t>
        </is>
      </c>
      <c r="B648" t="inlineStr">
        <is>
          <t>news</t>
        </is>
      </c>
      <c r="C648" t="inlineStr">
        <is>
          <t>economy</t>
        </is>
      </c>
      <c r="D648" t="inlineStr">
        <is>
          <t>SBS Biz</t>
        </is>
      </c>
      <c r="E648" t="inlineStr">
        <is>
          <t>손석우</t>
        </is>
      </c>
      <c r="F648" t="inlineStr">
        <is>
          <t>[이슈분석] 40조원 투자 보따리 든 기업들…한미정상회담 경제적 성과는?</t>
        </is>
      </c>
      <c r="G648" s="2">
        <f>HYPERLINK("https://biz.sbs.co.kr/article_hub/20000016241", "Go to Website")</f>
        <v/>
      </c>
      <c r="H648" t="inlineStr"/>
      <c r="I648" t="inlineStr">
        <is>
          <t>C28</t>
        </is>
      </c>
      <c r="J648" s="3" t="n">
        <v>0.44</v>
      </c>
      <c r="K648" t="inlineStr">
        <is>
          <t>전기장비 제조업</t>
        </is>
      </c>
      <c r="L648" t="inlineStr"/>
      <c r="M648" t="inlineStr"/>
      <c r="N648" t="inlineStr"/>
    </row>
    <row r="649">
      <c r="A649" s="1" t="inlineStr">
        <is>
          <t>2021-05-21</t>
        </is>
      </c>
      <c r="B649" t="inlineStr">
        <is>
          <t>news</t>
        </is>
      </c>
      <c r="C649" t="inlineStr">
        <is>
          <t>economy</t>
        </is>
      </c>
      <c r="D649" t="inlineStr">
        <is>
          <t>아이뉴스24</t>
        </is>
      </c>
      <c r="E649" t="inlineStr">
        <is>
          <t>강길홍</t>
        </is>
      </c>
      <c r="F649" t="inlineStr">
        <is>
          <t>SK이노베이션-포드, 배터리 생산 합작법인 설립…총 6조원 투자</t>
        </is>
      </c>
      <c r="G649" s="2">
        <f>HYPERLINK("http://www.inews24.com/view/1368802", "Go to Website")</f>
        <v/>
      </c>
      <c r="H649" t="inlineStr"/>
      <c r="I649" t="inlineStr">
        <is>
          <t>K64</t>
        </is>
      </c>
      <c r="J649" s="3" t="n">
        <v>1</v>
      </c>
      <c r="K649" t="inlineStr">
        <is>
          <t>금융업</t>
        </is>
      </c>
      <c r="L649" t="inlineStr">
        <is>
          <t>1</t>
        </is>
      </c>
      <c r="M649" s="3" t="n">
        <v>0.981</v>
      </c>
      <c r="N649" t="inlineStr">
        <is>
          <t>긍정</t>
        </is>
      </c>
    </row>
    <row r="650">
      <c r="A650" s="1" t="inlineStr">
        <is>
          <t>2021-05-21</t>
        </is>
      </c>
      <c r="B650" t="inlineStr">
        <is>
          <t>news</t>
        </is>
      </c>
      <c r="C650" t="inlineStr">
        <is>
          <t>tech</t>
        </is>
      </c>
      <c r="D650" t="inlineStr">
        <is>
          <t>디지털데일리</t>
        </is>
      </c>
      <c r="E650" t="inlineStr">
        <is>
          <t>윤상호</t>
        </is>
      </c>
      <c r="F650" t="inlineStr">
        <is>
          <t>SK이노베이션-포드, ‘블루오벌SK’ 설립…6조원 투자</t>
        </is>
      </c>
      <c r="G650" s="2">
        <f>HYPERLINK("http://www.ddaily.co.kr/news/article.html?no=214620", "Go to Website")</f>
        <v/>
      </c>
      <c r="H650" t="inlineStr"/>
      <c r="I650" t="inlineStr"/>
      <c r="J650" t="inlineStr"/>
      <c r="K650" t="inlineStr"/>
      <c r="L650" t="inlineStr"/>
      <c r="M650" t="inlineStr"/>
      <c r="N650" t="inlineStr"/>
    </row>
    <row r="651">
      <c r="A651" s="1" t="inlineStr">
        <is>
          <t>2021-05-21</t>
        </is>
      </c>
      <c r="B651" t="inlineStr">
        <is>
          <t>news</t>
        </is>
      </c>
      <c r="C651" t="inlineStr">
        <is>
          <t>economy</t>
        </is>
      </c>
      <c r="D651" t="inlineStr">
        <is>
          <t>SBS Biz</t>
        </is>
      </c>
      <c r="E651" t="inlineStr"/>
      <c r="F651" t="inlineStr">
        <is>
          <t>[글로벌 비즈] 빌 게이츠, 이혼 소식 16일 만 공식 석상…약지에 반지 그대로</t>
        </is>
      </c>
      <c r="G651" s="2">
        <f>HYPERLINK("https://biz.sbs.co.kr/article_hub/20000016244", "Go to Website")</f>
        <v/>
      </c>
      <c r="H651" t="inlineStr"/>
      <c r="I651" t="inlineStr">
        <is>
          <t>100</t>
        </is>
      </c>
      <c r="J651" s="3" t="n">
        <v>0.637</v>
      </c>
      <c r="K651" t="inlineStr">
        <is>
          <t>분류 제외, 기타</t>
        </is>
      </c>
      <c r="L651" t="inlineStr"/>
      <c r="M651" t="inlineStr"/>
      <c r="N651" t="inlineStr"/>
    </row>
    <row r="652">
      <c r="A652" s="1" t="inlineStr">
        <is>
          <t>2021-05-21</t>
        </is>
      </c>
      <c r="B652" t="inlineStr">
        <is>
          <t>news</t>
        </is>
      </c>
      <c r="C652" t="inlineStr">
        <is>
          <t>economy</t>
        </is>
      </c>
      <c r="D652" t="inlineStr">
        <is>
          <t>뉴시스</t>
        </is>
      </c>
      <c r="E652" t="inlineStr">
        <is>
          <t>신항섭</t>
        </is>
      </c>
      <c r="F652" t="inlineStr">
        <is>
          <t>[빅데이터MSI]시장심리 톱5, CJ·SK이노베이션·삼성SDI·LG하우시스·롯데제과</t>
        </is>
      </c>
      <c r="G652" s="2">
        <f>HYPERLINK("http://www.newsis.com/view/?id=NISX20210521_0001448148&amp;cID=10403&amp;pID=15000", "Go to Website")</f>
        <v/>
      </c>
      <c r="H652" t="inlineStr"/>
      <c r="I652" t="inlineStr">
        <is>
          <t>100</t>
        </is>
      </c>
      <c r="J652" s="3" t="n">
        <v>0.915</v>
      </c>
      <c r="K652" t="inlineStr">
        <is>
          <t>분류 제외, 기타</t>
        </is>
      </c>
      <c r="L652" t="inlineStr"/>
      <c r="M652" t="inlineStr"/>
      <c r="N652" t="inlineStr"/>
    </row>
    <row r="653">
      <c r="A653" s="1" t="inlineStr">
        <is>
          <t>2021-05-21</t>
        </is>
      </c>
      <c r="B653" t="inlineStr">
        <is>
          <t>news</t>
        </is>
      </c>
      <c r="C653" t="inlineStr">
        <is>
          <t>economy</t>
        </is>
      </c>
      <c r="D653" t="inlineStr">
        <is>
          <t>SBS Biz</t>
        </is>
      </c>
      <c r="E653" t="inlineStr"/>
      <c r="F653" t="inlineStr">
        <is>
          <t>[조간브리핑] 넷플릭스, 국내 이용자 3개월 연속 내리막길…코로나로 울었다</t>
        </is>
      </c>
      <c r="G653" s="2">
        <f>HYPERLINK("https://biz.sbs.co.kr/article_hub/20000016240", "Go to Website")</f>
        <v/>
      </c>
      <c r="H653" t="inlineStr"/>
      <c r="I653" t="inlineStr">
        <is>
          <t>C21</t>
        </is>
      </c>
      <c r="J653" s="3" t="n">
        <v>0.966</v>
      </c>
      <c r="K653" t="inlineStr">
        <is>
          <t>의료용 물질 및 의약품 제조업</t>
        </is>
      </c>
      <c r="L653" t="inlineStr"/>
      <c r="M653" t="inlineStr"/>
      <c r="N653" t="inlineStr"/>
    </row>
    <row r="654">
      <c r="A654" s="1" t="inlineStr">
        <is>
          <t>2021-05-21</t>
        </is>
      </c>
      <c r="B654" t="inlineStr">
        <is>
          <t>news</t>
        </is>
      </c>
      <c r="C654" t="inlineStr">
        <is>
          <t>economy</t>
        </is>
      </c>
      <c r="D654" t="inlineStr">
        <is>
          <t>한국일보</t>
        </is>
      </c>
      <c r="E654" t="inlineStr"/>
      <c r="F654" t="inlineStr">
        <is>
          <t>2차 전지 前·後 공정 자동화 기술로 세계시장 석권</t>
        </is>
      </c>
      <c r="G654" s="2">
        <f>HYPERLINK("https://hankookilbo.com/News/Read/A2021052015520004258?did=NA", "Go to Website")</f>
        <v/>
      </c>
      <c r="H654" t="inlineStr"/>
      <c r="I654" t="inlineStr">
        <is>
          <t>K64</t>
        </is>
      </c>
      <c r="J654" s="3" t="n">
        <v>0.47</v>
      </c>
      <c r="K654" t="inlineStr">
        <is>
          <t>금융업</t>
        </is>
      </c>
      <c r="L654" t="inlineStr">
        <is>
          <t>0</t>
        </is>
      </c>
      <c r="M654" s="3" t="n">
        <v>0.8149999999999999</v>
      </c>
      <c r="N654" t="inlineStr">
        <is>
          <t>중립</t>
        </is>
      </c>
    </row>
    <row r="655">
      <c r="A655" s="1" t="inlineStr">
        <is>
          <t>2021-05-21</t>
        </is>
      </c>
      <c r="B655" t="inlineStr">
        <is>
          <t>news</t>
        </is>
      </c>
      <c r="C655" t="inlineStr">
        <is>
          <t>economy</t>
        </is>
      </c>
      <c r="D655" t="inlineStr">
        <is>
          <t>머니S</t>
        </is>
      </c>
      <c r="E655" t="inlineStr">
        <is>
          <t>조승예</t>
        </is>
      </c>
      <c r="F655" t="inlineStr">
        <is>
          <t>[뉴욕증시] 나흘 만에 반등… 성장주 중심 강세, 애플 2%↑</t>
        </is>
      </c>
      <c r="G655" s="2">
        <f>HYPERLINK("http://moneys.mt.co.kr/news/mwView.php?no=2021052107268031491", "Go to Website")</f>
        <v/>
      </c>
      <c r="H655" t="inlineStr"/>
      <c r="I655" t="inlineStr">
        <is>
          <t>100</t>
        </is>
      </c>
      <c r="J655" s="3" t="n">
        <v>0.53</v>
      </c>
      <c r="K655" t="inlineStr">
        <is>
          <t>분류 제외, 기타</t>
        </is>
      </c>
      <c r="L655" t="inlineStr">
        <is>
          <t>1</t>
        </is>
      </c>
      <c r="M655" s="3" t="n">
        <v>0.979</v>
      </c>
      <c r="N655" t="inlineStr">
        <is>
          <t>긍정</t>
        </is>
      </c>
    </row>
    <row r="656">
      <c r="A656" s="1" t="inlineStr">
        <is>
          <t>2021-05-21</t>
        </is>
      </c>
      <c r="B656" t="inlineStr">
        <is>
          <t>news</t>
        </is>
      </c>
      <c r="C656" t="inlineStr">
        <is>
          <t>economy</t>
        </is>
      </c>
      <c r="D656" t="inlineStr">
        <is>
          <t>일간스포츠</t>
        </is>
      </c>
      <c r="E656" t="inlineStr">
        <is>
          <t>김두용</t>
        </is>
      </c>
      <c r="F656" t="inlineStr">
        <is>
          <t>최태원, 4대 그룹 40조원 규모 투자 외 '추가 보따리' 풀까</t>
        </is>
      </c>
      <c r="G656" s="2">
        <f>HYPERLINK("http://isplus.live.joins.com/news/article/article.asp?total_id=24063012", "Go to Website")</f>
        <v/>
      </c>
      <c r="H656" t="inlineStr"/>
      <c r="I656" t="inlineStr">
        <is>
          <t>C26</t>
        </is>
      </c>
      <c r="J656" s="3" t="n">
        <v>0.969</v>
      </c>
      <c r="K656" t="inlineStr">
        <is>
          <t>전자 부품, 컴퓨터, 영상, 음향 및 통신장비 제조업</t>
        </is>
      </c>
      <c r="L656" t="inlineStr"/>
      <c r="M656" t="inlineStr"/>
      <c r="N656" t="inlineStr"/>
    </row>
    <row r="657">
      <c r="A657" s="1" t="inlineStr">
        <is>
          <t>2021-05-21</t>
        </is>
      </c>
      <c r="B657" t="inlineStr">
        <is>
          <t>news</t>
        </is>
      </c>
      <c r="C657" t="inlineStr">
        <is>
          <t>economy</t>
        </is>
      </c>
      <c r="D657" t="inlineStr">
        <is>
          <t>이데일리</t>
        </is>
      </c>
      <c r="E657" t="inlineStr">
        <is>
          <t>정두리</t>
        </is>
      </c>
      <c r="F657" t="inlineStr">
        <is>
          <t>[재송]20일 장 마감 후 주요 종목 뉴스</t>
        </is>
      </c>
      <c r="G657" s="2">
        <f>HYPERLINK("http://www.edaily.co.kr/news/newspath.asp?newsid=01315286629051216", "Go to Website")</f>
        <v/>
      </c>
      <c r="H657" t="inlineStr"/>
      <c r="I657" t="inlineStr">
        <is>
          <t>100</t>
        </is>
      </c>
      <c r="J657" s="3" t="n">
        <v>0.9360000000000001</v>
      </c>
      <c r="K657" t="inlineStr">
        <is>
          <t>분류 제외, 기타</t>
        </is>
      </c>
      <c r="L657" t="inlineStr"/>
      <c r="M657" t="inlineStr"/>
      <c r="N657" t="inlineStr"/>
    </row>
    <row r="658">
      <c r="A658" s="1" t="inlineStr">
        <is>
          <t>2021-05-21</t>
        </is>
      </c>
      <c r="B658" t="inlineStr">
        <is>
          <t>news</t>
        </is>
      </c>
      <c r="C658" t="inlineStr">
        <is>
          <t>economy</t>
        </is>
      </c>
      <c r="D658" t="inlineStr">
        <is>
          <t>서울경제</t>
        </is>
      </c>
      <c r="E658" t="inlineStr">
        <is>
          <t>심우일</t>
        </is>
      </c>
      <c r="F658" t="inlineStr">
        <is>
          <t>[기업공시 5월 20일]영화테크·레이 100% 무상증자 결정 등</t>
        </is>
      </c>
      <c r="G658" s="2">
        <f>HYPERLINK("https://www.sedaily.com/NewsView/22MG267JNY", "Go to Website")</f>
        <v/>
      </c>
      <c r="H658" t="inlineStr"/>
      <c r="I658" t="inlineStr">
        <is>
          <t>K64</t>
        </is>
      </c>
      <c r="J658" s="3" t="n">
        <v>0.845</v>
      </c>
      <c r="K658" t="inlineStr">
        <is>
          <t>금융업</t>
        </is>
      </c>
      <c r="L658" t="inlineStr"/>
      <c r="M658" t="inlineStr"/>
      <c r="N658" t="inlineStr"/>
    </row>
    <row r="659">
      <c r="A659" s="1" t="inlineStr">
        <is>
          <t>2021-05-21</t>
        </is>
      </c>
      <c r="B659" t="inlineStr">
        <is>
          <t>news</t>
        </is>
      </c>
      <c r="C659" t="inlineStr">
        <is>
          <t>economy</t>
        </is>
      </c>
      <c r="D659" t="inlineStr">
        <is>
          <t>MBN</t>
        </is>
      </c>
      <c r="E659" t="inlineStr">
        <is>
          <t>이현재</t>
        </is>
      </c>
      <c r="F659" t="inlineStr">
        <is>
          <t>SK, 포드와 배터리 합작사 설립…4대그룹, 미국에 40조 투자</t>
        </is>
      </c>
      <c r="G659" s="2">
        <f>HYPERLINK("http://mbn.mk.co.kr/pages/news/newsView.php?category=mbn00003&amp;news_seq_no=4507480", "Go to Website")</f>
        <v/>
      </c>
      <c r="H659" t="inlineStr"/>
      <c r="I659" t="inlineStr">
        <is>
          <t>C28</t>
        </is>
      </c>
      <c r="J659" s="3" t="n">
        <v>0.469</v>
      </c>
      <c r="K659" t="inlineStr">
        <is>
          <t>전기장비 제조업</t>
        </is>
      </c>
      <c r="L659" t="inlineStr">
        <is>
          <t>1</t>
        </is>
      </c>
      <c r="M659" s="3" t="n">
        <v>0.9409999999999999</v>
      </c>
      <c r="N659" t="inlineStr">
        <is>
          <t>긍정</t>
        </is>
      </c>
    </row>
    <row r="660">
      <c r="A660" s="1" t="inlineStr">
        <is>
          <t>2021-05-21</t>
        </is>
      </c>
      <c r="B660" t="inlineStr">
        <is>
          <t>news</t>
        </is>
      </c>
      <c r="C660" t="inlineStr">
        <is>
          <t>economy</t>
        </is>
      </c>
      <c r="D660" t="inlineStr">
        <is>
          <t>SBS Biz</t>
        </is>
      </c>
      <c r="E660" t="inlineStr">
        <is>
          <t>신윤철</t>
        </is>
      </c>
      <c r="F660" t="inlineStr">
        <is>
          <t>SK, 포드와 6조원 합작법인 …‘K배터리’ 위상 커진다</t>
        </is>
      </c>
      <c r="G660" s="2">
        <f>HYPERLINK("https://biz.sbs.co.kr/article_hub/20000016220", "Go to Website")</f>
        <v/>
      </c>
      <c r="H660" t="inlineStr"/>
      <c r="I660" t="inlineStr">
        <is>
          <t>C30</t>
        </is>
      </c>
      <c r="J660" s="3" t="n">
        <v>0.442</v>
      </c>
      <c r="K660" t="inlineStr">
        <is>
          <t>자동차 및 트레일러 제조업</t>
        </is>
      </c>
      <c r="L660" t="inlineStr">
        <is>
          <t>1</t>
        </is>
      </c>
      <c r="M660" s="3" t="n">
        <v>0.554</v>
      </c>
      <c r="N660" t="inlineStr">
        <is>
          <t>긍정</t>
        </is>
      </c>
    </row>
    <row r="661">
      <c r="A661" s="1" t="inlineStr">
        <is>
          <t>2021-05-21</t>
        </is>
      </c>
      <c r="B661" t="inlineStr">
        <is>
          <t>news</t>
        </is>
      </c>
      <c r="C661" t="inlineStr">
        <is>
          <t>economy</t>
        </is>
      </c>
      <c r="D661" t="inlineStr">
        <is>
          <t>머니투데이</t>
        </is>
      </c>
      <c r="E661" t="inlineStr">
        <is>
          <t>장덕진</t>
        </is>
      </c>
      <c r="F661" t="inlineStr">
        <is>
          <t>1분기 흑자 맛본 韓 배터리, 올해 연간 흑자 간다</t>
        </is>
      </c>
      <c r="G661" s="2">
        <f>HYPERLINK("http://news.mt.co.kr/mtview.php?no=2021052010281921704", "Go to Website")</f>
        <v/>
      </c>
      <c r="H661" t="inlineStr"/>
      <c r="I661" t="inlineStr">
        <is>
          <t>K64</t>
        </is>
      </c>
      <c r="J661" s="3" t="n">
        <v>0.48</v>
      </c>
      <c r="K661" t="inlineStr">
        <is>
          <t>금융업</t>
        </is>
      </c>
      <c r="L661" t="inlineStr"/>
      <c r="M661" t="inlineStr"/>
      <c r="N661" t="inlineStr"/>
    </row>
    <row r="662">
      <c r="A662" s="1" t="inlineStr">
        <is>
          <t>2021-05-21</t>
        </is>
      </c>
      <c r="B662" t="inlineStr">
        <is>
          <t>news</t>
        </is>
      </c>
      <c r="C662" t="inlineStr">
        <is>
          <t>economy</t>
        </is>
      </c>
      <c r="D662" t="inlineStr">
        <is>
          <t>세계일보</t>
        </is>
      </c>
      <c r="E662" t="inlineStr">
        <is>
          <t>조병욱</t>
        </is>
      </c>
      <c r="F662" t="inlineStr">
        <is>
          <t>SK이노·포드차, 배터리셀 생산 합작법인 세운다</t>
        </is>
      </c>
      <c r="G662" s="2">
        <f>HYPERLINK("http://www.segye.com/content/html/2021/05/20/20210520518342.html", "Go to Website")</f>
        <v/>
      </c>
      <c r="H662" t="inlineStr"/>
      <c r="I662" t="inlineStr">
        <is>
          <t>C30</t>
        </is>
      </c>
      <c r="J662" s="3" t="n">
        <v>0.904</v>
      </c>
      <c r="K662" t="inlineStr">
        <is>
          <t>자동차 및 트레일러 제조업</t>
        </is>
      </c>
      <c r="L662" t="inlineStr"/>
      <c r="M662" t="inlineStr"/>
      <c r="N662" t="inlineStr"/>
    </row>
    <row r="663">
      <c r="A663" s="1" t="inlineStr">
        <is>
          <t>2021-05-21</t>
        </is>
      </c>
      <c r="B663" t="inlineStr">
        <is>
          <t>news</t>
        </is>
      </c>
      <c r="C663" t="inlineStr">
        <is>
          <t>economy</t>
        </is>
      </c>
      <c r="D663" t="inlineStr">
        <is>
          <t>이데일리</t>
        </is>
      </c>
      <c r="E663" t="inlineStr">
        <is>
          <t>김영수</t>
        </is>
      </c>
      <c r="F663" t="inlineStr">
        <is>
          <t>“EU 新배터리 규제 대비 폐배터리 재활용 등 대응전략 수립해야”</t>
        </is>
      </c>
      <c r="G663" s="2">
        <f>HYPERLINK("http://www.edaily.co.kr/news/newspath.asp?newsid=01230006629051216", "Go to Website")</f>
        <v/>
      </c>
      <c r="H663" t="inlineStr"/>
      <c r="I663" t="inlineStr">
        <is>
          <t>K64</t>
        </is>
      </c>
      <c r="J663" s="3" t="n">
        <v>0.985</v>
      </c>
      <c r="K663" t="inlineStr">
        <is>
          <t>금융업</t>
        </is>
      </c>
      <c r="L663" t="inlineStr"/>
      <c r="M663" t="inlineStr"/>
      <c r="N663" t="inlineStr"/>
    </row>
    <row r="664">
      <c r="A664" s="1" t="inlineStr">
        <is>
          <t>2021-05-21</t>
        </is>
      </c>
      <c r="B664" t="inlineStr">
        <is>
          <t>news</t>
        </is>
      </c>
      <c r="C664" t="inlineStr">
        <is>
          <t>economy</t>
        </is>
      </c>
      <c r="D664" t="inlineStr">
        <is>
          <t>연합뉴스</t>
        </is>
      </c>
      <c r="E664" t="inlineStr">
        <is>
          <t>장하나</t>
        </is>
      </c>
      <c r="F664" t="inlineStr">
        <is>
          <t>글로벌 전기차 시장 '격화'…미국 고삐 죄며 중국 견제 나서</t>
        </is>
      </c>
      <c r="G664" s="2">
        <f>HYPERLINK("http://yna.kr/AKR20210520162200003?did=1195m", "Go to Website")</f>
        <v/>
      </c>
      <c r="H664" t="inlineStr"/>
      <c r="I664" t="inlineStr">
        <is>
          <t>H52</t>
        </is>
      </c>
      <c r="J664" s="3" t="n">
        <v>0.681</v>
      </c>
      <c r="K664" t="inlineStr">
        <is>
          <t>창고 및 운송관련 서비스업</t>
        </is>
      </c>
      <c r="L664" t="inlineStr"/>
      <c r="M664" t="inlineStr"/>
      <c r="N664" t="inlineStr"/>
    </row>
    <row r="665">
      <c r="A665" s="1" t="inlineStr">
        <is>
          <t>2021-05-21</t>
        </is>
      </c>
      <c r="B665" t="inlineStr">
        <is>
          <t>news</t>
        </is>
      </c>
      <c r="C665" t="inlineStr">
        <is>
          <t>economy</t>
        </is>
      </c>
      <c r="D665" t="inlineStr">
        <is>
          <t>조선비즈</t>
        </is>
      </c>
      <c r="E665" t="inlineStr">
        <is>
          <t>이윤정</t>
        </is>
      </c>
      <c r="F665" t="inlineStr">
        <is>
          <t>‘재계 대표’ 굳히는 최태원 SK 회장, 文 대통령과 독대 이재용·정의선의 2배</t>
        </is>
      </c>
      <c r="G665" s="2">
        <f>HYPERLINK("https://biz.chosun.com/industry/company/2021/05/21/UUJBZLH42ZCJ7EH4V2GXFQI6S4/?utm_medium=original&amp;utm_campaign=biz", "Go to Website")</f>
        <v/>
      </c>
      <c r="H665" t="inlineStr"/>
      <c r="I665" t="inlineStr">
        <is>
          <t>100</t>
        </is>
      </c>
      <c r="J665" s="3" t="n">
        <v>1</v>
      </c>
      <c r="K665" t="inlineStr">
        <is>
          <t>분류 제외, 기타</t>
        </is>
      </c>
      <c r="L665" t="inlineStr">
        <is>
          <t>0</t>
        </is>
      </c>
      <c r="M665" s="3" t="n">
        <v>0.996</v>
      </c>
      <c r="N665" t="inlineStr">
        <is>
          <t>중립</t>
        </is>
      </c>
    </row>
    <row r="666">
      <c r="A666" s="1" t="inlineStr">
        <is>
          <t>2021-05-21</t>
        </is>
      </c>
      <c r="B666" t="inlineStr">
        <is>
          <t>news</t>
        </is>
      </c>
      <c r="C666" t="inlineStr">
        <is>
          <t>economy</t>
        </is>
      </c>
      <c r="D666" t="inlineStr">
        <is>
          <t>머니투데이</t>
        </is>
      </c>
      <c r="E666" t="inlineStr">
        <is>
          <t>김성은</t>
        </is>
      </c>
      <c r="F666" t="inlineStr">
        <is>
          <t>한미 정상회담 앞두고 포드·SK이노 합작 발표…'환상케미' 기대</t>
        </is>
      </c>
      <c r="G666" s="2">
        <f>HYPERLINK("http://news.mt.co.kr/mtview.php?no=2021052022342545420", "Go to Website")</f>
        <v/>
      </c>
      <c r="H666" t="inlineStr"/>
      <c r="I666" t="inlineStr">
        <is>
          <t>K64</t>
        </is>
      </c>
      <c r="J666" s="3" t="n">
        <v>0.98</v>
      </c>
      <c r="K666" t="inlineStr">
        <is>
          <t>금융업</t>
        </is>
      </c>
      <c r="L666" t="inlineStr"/>
      <c r="M666" t="inlineStr"/>
      <c r="N666" t="inlineStr"/>
    </row>
    <row r="667">
      <c r="A667" s="1" t="inlineStr">
        <is>
          <t>2021-05-21</t>
        </is>
      </c>
      <c r="B667" t="inlineStr">
        <is>
          <t>news</t>
        </is>
      </c>
      <c r="C667" t="inlineStr">
        <is>
          <t>economy</t>
        </is>
      </c>
      <c r="D667" t="inlineStr">
        <is>
          <t>머니투데이</t>
        </is>
      </c>
      <c r="E667" t="inlineStr">
        <is>
          <t>김성은</t>
        </is>
      </c>
      <c r="F667" t="inlineStr">
        <is>
          <t>'수소·배터리' 사업 진출…'롯데 캐시카우' 롯데케미칼의 변신</t>
        </is>
      </c>
      <c r="G667" s="2">
        <f>HYPERLINK("http://news.mt.co.kr/mtview.php?no=2021052017504740026", "Go to Website")</f>
        <v/>
      </c>
      <c r="H667" t="inlineStr"/>
      <c r="I667" t="inlineStr">
        <is>
          <t>C20</t>
        </is>
      </c>
      <c r="J667" s="3" t="n">
        <v>0.8110000000000001</v>
      </c>
      <c r="K667" t="inlineStr">
        <is>
          <t>화학 물질 및 화학제품 제조업; 의약품 제외</t>
        </is>
      </c>
      <c r="L667" t="inlineStr">
        <is>
          <t>1</t>
        </is>
      </c>
      <c r="M667" s="3" t="n">
        <v>0.997</v>
      </c>
      <c r="N667" t="inlineStr">
        <is>
          <t>긍정</t>
        </is>
      </c>
    </row>
    <row r="668">
      <c r="A668" s="1" t="inlineStr">
        <is>
          <t>2021-05-21</t>
        </is>
      </c>
      <c r="B668" t="inlineStr">
        <is>
          <t>news</t>
        </is>
      </c>
      <c r="C668" t="inlineStr">
        <is>
          <t>economy</t>
        </is>
      </c>
      <c r="D668" t="inlineStr">
        <is>
          <t>노컷뉴스</t>
        </is>
      </c>
      <c r="E668" t="inlineStr">
        <is>
          <t>유동근</t>
        </is>
      </c>
      <c r="F668" t="inlineStr">
        <is>
          <t>SK이노 美 공격적 투자…韓배터리 '미국 삼국지'</t>
        </is>
      </c>
      <c r="G668" s="2">
        <f>HYPERLINK("https://www.nocutnews.co.kr/news/5556340", "Go to Website")</f>
        <v/>
      </c>
      <c r="H668" t="inlineStr"/>
      <c r="I668" t="inlineStr">
        <is>
          <t>K64</t>
        </is>
      </c>
      <c r="J668" s="3" t="n">
        <v>0.754</v>
      </c>
      <c r="K668" t="inlineStr">
        <is>
          <t>금융업</t>
        </is>
      </c>
      <c r="L668" t="inlineStr"/>
      <c r="M668" t="inlineStr"/>
      <c r="N668" t="inlineStr"/>
    </row>
    <row r="669">
      <c r="A669" s="1" t="inlineStr">
        <is>
          <t>2021-05-21</t>
        </is>
      </c>
      <c r="B669" t="inlineStr">
        <is>
          <t>news</t>
        </is>
      </c>
      <c r="C669" t="inlineStr">
        <is>
          <t>economy</t>
        </is>
      </c>
      <c r="D669" t="inlineStr">
        <is>
          <t>머니S</t>
        </is>
      </c>
      <c r="E669" t="inlineStr">
        <is>
          <t>권가림</t>
        </is>
      </c>
      <c r="F669" t="inlineStr">
        <is>
          <t>롯데케미칼, 전기차 배터리 전해액 '첫 국산화' 나섰다</t>
        </is>
      </c>
      <c r="G669" s="2">
        <f>HYPERLINK("http://moneys.mt.co.kr/news/mwView.php?no=2021052016128038911", "Go to Website")</f>
        <v/>
      </c>
      <c r="H669" t="inlineStr"/>
      <c r="I669" t="inlineStr">
        <is>
          <t>C20</t>
        </is>
      </c>
      <c r="J669" s="3" t="n">
        <v>1</v>
      </c>
      <c r="K669" t="inlineStr">
        <is>
          <t>화학 물질 및 화학제품 제조업; 의약품 제외</t>
        </is>
      </c>
      <c r="L669" t="inlineStr">
        <is>
          <t>1</t>
        </is>
      </c>
      <c r="M669" s="3" t="n">
        <v>0.986</v>
      </c>
      <c r="N669" t="inlineStr">
        <is>
          <t>긍정</t>
        </is>
      </c>
    </row>
    <row r="670">
      <c r="A670" s="1" t="inlineStr">
        <is>
          <t>2021-05-21</t>
        </is>
      </c>
      <c r="B670" t="inlineStr">
        <is>
          <t>news</t>
        </is>
      </c>
      <c r="C670" t="inlineStr">
        <is>
          <t>economy</t>
        </is>
      </c>
      <c r="D670" t="inlineStr">
        <is>
          <t>뉴시스</t>
        </is>
      </c>
      <c r="E670" t="inlineStr">
        <is>
          <t>정윤아</t>
        </is>
      </c>
      <c r="F670" t="inlineStr">
        <is>
          <t>SK이노, 美포드와 6조원 합작법인 설립…2025년 전후부터 생산(종합)</t>
        </is>
      </c>
      <c r="G670" s="2">
        <f>HYPERLINK("http://www.newsis.com/view/?id=NISX20210520_0001448034&amp;cID=13001&amp;pID=13000", "Go to Website")</f>
        <v/>
      </c>
      <c r="H670" t="inlineStr"/>
      <c r="I670" t="inlineStr">
        <is>
          <t>100</t>
        </is>
      </c>
      <c r="J670" s="3" t="n">
        <v>0.596</v>
      </c>
      <c r="K670" t="inlineStr">
        <is>
          <t>분류 제외, 기타</t>
        </is>
      </c>
      <c r="L670" t="inlineStr"/>
      <c r="M670" t="inlineStr"/>
      <c r="N670" t="inlineStr"/>
    </row>
    <row r="671">
      <c r="A671" s="1" t="inlineStr">
        <is>
          <t>2021-05-21</t>
        </is>
      </c>
      <c r="B671" t="inlineStr">
        <is>
          <t>news</t>
        </is>
      </c>
      <c r="C671" t="inlineStr">
        <is>
          <t>economy</t>
        </is>
      </c>
      <c r="D671" t="inlineStr">
        <is>
          <t>머니투데이</t>
        </is>
      </c>
      <c r="E671" t="inlineStr">
        <is>
          <t>이강준</t>
        </is>
      </c>
      <c r="F671" t="inlineStr">
        <is>
          <t>'아이언맨의 전기차' 아우디 e-트론 GT…"포르쉐 타이칸과 쌍둥이네"</t>
        </is>
      </c>
      <c r="G671" s="2">
        <f>HYPERLINK("http://news.mt.co.kr/mtview.php?no=2021052017205275786", "Go to Website")</f>
        <v/>
      </c>
      <c r="H671" t="inlineStr"/>
      <c r="I671" t="inlineStr">
        <is>
          <t>C29</t>
        </is>
      </c>
      <c r="J671" s="3" t="n">
        <v>0.9320000000000001</v>
      </c>
      <c r="K671" t="inlineStr">
        <is>
          <t>기타 기계 및 장비 제조업</t>
        </is>
      </c>
      <c r="L671" t="inlineStr">
        <is>
          <t>1</t>
        </is>
      </c>
      <c r="M671" s="3" t="n">
        <v>0.581</v>
      </c>
      <c r="N671" t="inlineStr">
        <is>
          <t>긍정</t>
        </is>
      </c>
    </row>
    <row r="672">
      <c r="A672" s="1" t="inlineStr">
        <is>
          <t>2021-05-21</t>
        </is>
      </c>
      <c r="B672" t="inlineStr">
        <is>
          <t>news</t>
        </is>
      </c>
      <c r="C672" t="inlineStr">
        <is>
          <t>economy</t>
        </is>
      </c>
      <c r="D672" t="inlineStr">
        <is>
          <t>서울신문</t>
        </is>
      </c>
      <c r="E672" t="inlineStr">
        <is>
          <t>이영준</t>
        </is>
      </c>
      <c r="F672" t="inlineStr">
        <is>
          <t>한미 ‘배터리 동맹’</t>
        </is>
      </c>
      <c r="G672" s="2">
        <f>HYPERLINK("https://www.seoul.co.kr/news/newsView.php?id=20210521003012", "Go to Website")</f>
        <v/>
      </c>
      <c r="H672" t="inlineStr"/>
      <c r="I672" t="inlineStr">
        <is>
          <t>K64</t>
        </is>
      </c>
      <c r="J672" s="3" t="n">
        <v>0.703</v>
      </c>
      <c r="K672" t="inlineStr">
        <is>
          <t>금융업</t>
        </is>
      </c>
      <c r="L672" t="inlineStr"/>
      <c r="M672" t="inlineStr"/>
      <c r="N672" t="inlineStr"/>
    </row>
    <row r="673">
      <c r="A673" s="1" t="inlineStr">
        <is>
          <t>2021-05-21</t>
        </is>
      </c>
      <c r="B673" t="inlineStr">
        <is>
          <t>news</t>
        </is>
      </c>
      <c r="C673" t="inlineStr">
        <is>
          <t>economy</t>
        </is>
      </c>
      <c r="D673" t="inlineStr">
        <is>
          <t>중앙일보</t>
        </is>
      </c>
      <c r="E673" t="inlineStr">
        <is>
          <t>복지전문</t>
        </is>
      </c>
      <c r="F673" t="inlineStr">
        <is>
          <t>'백신동맹' 위해···韓기업들, 40조 투자보따리 미국에 푼다</t>
        </is>
      </c>
      <c r="G673" s="2">
        <f>HYPERLINK("https://news.joins.com/article/olink/23657618", "Go to Website")</f>
        <v/>
      </c>
      <c r="H673" t="inlineStr"/>
      <c r="I673" t="inlineStr">
        <is>
          <t>C26</t>
        </is>
      </c>
      <c r="J673" s="3" t="n">
        <v>0.542</v>
      </c>
      <c r="K673" t="inlineStr">
        <is>
          <t>전자 부품, 컴퓨터, 영상, 음향 및 통신장비 제조업</t>
        </is>
      </c>
      <c r="L673" t="inlineStr"/>
      <c r="M673" t="inlineStr"/>
      <c r="N673" t="inlineStr"/>
    </row>
    <row r="674">
      <c r="A674" s="1" t="inlineStr">
        <is>
          <t>2021-05-21</t>
        </is>
      </c>
      <c r="B674" t="inlineStr">
        <is>
          <t>news</t>
        </is>
      </c>
      <c r="C674" t="inlineStr">
        <is>
          <t>economy</t>
        </is>
      </c>
      <c r="D674" t="inlineStr">
        <is>
          <t>국민일보</t>
        </is>
      </c>
      <c r="E674" t="inlineStr">
        <is>
          <t>김준엽</t>
        </is>
      </c>
      <c r="F674" t="inlineStr">
        <is>
          <t>양국 정상이 밀어주는 ‘한·미 배터리동맹’</t>
        </is>
      </c>
      <c r="G674" s="2">
        <f>HYPERLINK("http://news.kmib.co.kr/article/view.asp?arcid=0924192675&amp;code=11151400", "Go to Website")</f>
        <v/>
      </c>
      <c r="H674" t="inlineStr"/>
      <c r="I674" t="inlineStr">
        <is>
          <t>K64</t>
        </is>
      </c>
      <c r="J674" s="3" t="n">
        <v>0.996</v>
      </c>
      <c r="K674" t="inlineStr">
        <is>
          <t>금융업</t>
        </is>
      </c>
      <c r="L674" t="inlineStr"/>
      <c r="M674" t="inlineStr"/>
      <c r="N674" t="inlineStr"/>
    </row>
    <row r="675">
      <c r="A675" s="1" t="inlineStr">
        <is>
          <t>2021-05-21</t>
        </is>
      </c>
      <c r="B675" t="inlineStr">
        <is>
          <t>news</t>
        </is>
      </c>
      <c r="C675" t="inlineStr">
        <is>
          <t>economy</t>
        </is>
      </c>
      <c r="D675" t="inlineStr">
        <is>
          <t>매일경제</t>
        </is>
      </c>
      <c r="E675" t="inlineStr"/>
      <c r="F675" t="inlineStr">
        <is>
          <t>[株머니 주요산업 증시기상도] 美, 전기차 200조원 투자…현대·기아차株 수혜 기대</t>
        </is>
      </c>
      <c r="G675" s="2">
        <f>HYPERLINK("http://news.mk.co.kr/newsRead.php?no=488671&amp;year=2021", "Go to Website")</f>
        <v/>
      </c>
      <c r="H675" t="inlineStr"/>
      <c r="I675" t="inlineStr">
        <is>
          <t>C26</t>
        </is>
      </c>
      <c r="J675" s="3" t="n">
        <v>0.392</v>
      </c>
      <c r="K675" t="inlineStr">
        <is>
          <t>전자 부품, 컴퓨터, 영상, 음향 및 통신장비 제조업</t>
        </is>
      </c>
      <c r="L675" t="inlineStr"/>
      <c r="M675" t="inlineStr"/>
      <c r="N675" t="inlineStr"/>
    </row>
    <row r="676">
      <c r="A676" s="1" t="inlineStr">
        <is>
          <t>2021-05-21</t>
        </is>
      </c>
      <c r="B676" t="inlineStr">
        <is>
          <t>news</t>
        </is>
      </c>
      <c r="C676" t="inlineStr">
        <is>
          <t>economy</t>
        </is>
      </c>
      <c r="D676" t="inlineStr">
        <is>
          <t>국민일보</t>
        </is>
      </c>
      <c r="E676" t="inlineStr">
        <is>
          <t>최지웅</t>
        </is>
      </c>
      <c r="F676" t="inlineStr">
        <is>
          <t>현대차·기아, 유럽서 함박웃음… BMW 콧대 꺾고 4위로</t>
        </is>
      </c>
      <c r="G676" s="2">
        <f>HYPERLINK("http://news.kmib.co.kr/article/view.asp?arcid=0924192620&amp;code=11151400", "Go to Website")</f>
        <v/>
      </c>
      <c r="H676" t="inlineStr"/>
      <c r="I676" t="inlineStr">
        <is>
          <t>C30</t>
        </is>
      </c>
      <c r="J676" s="3" t="n">
        <v>1</v>
      </c>
      <c r="K676" t="inlineStr">
        <is>
          <t>자동차 및 트레일러 제조업</t>
        </is>
      </c>
      <c r="L676" t="inlineStr"/>
      <c r="M676" t="inlineStr"/>
      <c r="N676" t="inlineStr"/>
    </row>
    <row r="677">
      <c r="A677" s="1" t="inlineStr">
        <is>
          <t>2021-05-21</t>
        </is>
      </c>
      <c r="B677" t="inlineStr">
        <is>
          <t>news</t>
        </is>
      </c>
      <c r="C677" t="inlineStr">
        <is>
          <t>economy</t>
        </is>
      </c>
      <c r="D677" t="inlineStr">
        <is>
          <t>이데일리</t>
        </is>
      </c>
      <c r="E677" t="inlineStr">
        <is>
          <t>김정남</t>
        </is>
      </c>
      <c r="F677" t="inlineStr">
        <is>
          <t>포드 CEO "전기차 투자 미루면 중국에 뒤처질 것"</t>
        </is>
      </c>
      <c r="G677" s="2">
        <f>HYPERLINK("http://www.edaily.co.kr/news/newspath.asp?newsid=01154566629051216", "Go to Website")</f>
        <v/>
      </c>
      <c r="H677" t="inlineStr"/>
      <c r="I677" t="inlineStr">
        <is>
          <t>100</t>
        </is>
      </c>
      <c r="J677" s="3" t="n">
        <v>0.988</v>
      </c>
      <c r="K677" t="inlineStr">
        <is>
          <t>분류 제외, 기타</t>
        </is>
      </c>
      <c r="L677" t="inlineStr">
        <is>
          <t>0</t>
        </is>
      </c>
      <c r="M677" s="3" t="n">
        <v>0.999</v>
      </c>
      <c r="N677" t="inlineStr">
        <is>
          <t>중립</t>
        </is>
      </c>
    </row>
    <row r="678">
      <c r="A678" s="1" t="inlineStr">
        <is>
          <t>2021-05-21</t>
        </is>
      </c>
      <c r="B678" t="inlineStr">
        <is>
          <t>news</t>
        </is>
      </c>
      <c r="C678" t="inlineStr">
        <is>
          <t>economy</t>
        </is>
      </c>
      <c r="D678" t="inlineStr">
        <is>
          <t>아시아경제</t>
        </is>
      </c>
      <c r="E678" t="inlineStr">
        <is>
          <t>백종민</t>
        </is>
      </c>
      <c r="F678" t="inlineStr">
        <is>
          <t>'테슬라 킬러' 포드 전기트럭, 문재인·바이든 애정 속 흥행 몰이</t>
        </is>
      </c>
      <c r="G678" s="2">
        <f>HYPERLINK("https://view.asiae.co.kr/article/2021052023285806023", "Go to Website")</f>
        <v/>
      </c>
      <c r="H678" t="inlineStr"/>
      <c r="I678" t="inlineStr">
        <is>
          <t>C28</t>
        </is>
      </c>
      <c r="J678" s="3" t="n">
        <v>0.77</v>
      </c>
      <c r="K678" t="inlineStr">
        <is>
          <t>전기장비 제조업</t>
        </is>
      </c>
      <c r="L678" t="inlineStr"/>
      <c r="M678" t="inlineStr"/>
      <c r="N678" t="inlineStr"/>
    </row>
    <row r="679">
      <c r="A679" s="1" t="inlineStr">
        <is>
          <t>2021-05-21</t>
        </is>
      </c>
      <c r="B679" t="inlineStr">
        <is>
          <t>news</t>
        </is>
      </c>
      <c r="C679" t="inlineStr">
        <is>
          <t>economy</t>
        </is>
      </c>
      <c r="D679" t="inlineStr">
        <is>
          <t>뉴시스</t>
        </is>
      </c>
      <c r="E679" t="inlineStr">
        <is>
          <t>정윤아</t>
        </is>
      </c>
      <c r="F679" t="inlineStr">
        <is>
          <t>LG에너지솔루션, 중국 제외 전기차 배터리 시장에서 사용량 1위(종합)</t>
        </is>
      </c>
      <c r="G679" s="2">
        <f>HYPERLINK("http://www.newsis.com/view/?id=NISX20210520_0001447730&amp;cID=13001&amp;pID=13000", "Go to Website")</f>
        <v/>
      </c>
      <c r="H679" t="inlineStr"/>
      <c r="I679" t="inlineStr">
        <is>
          <t>C28</t>
        </is>
      </c>
      <c r="J679" s="3" t="n">
        <v>0.855</v>
      </c>
      <c r="K679" t="inlineStr">
        <is>
          <t>전기장비 제조업</t>
        </is>
      </c>
      <c r="L679" t="inlineStr"/>
      <c r="M679" t="inlineStr"/>
      <c r="N679" t="inlineStr"/>
    </row>
    <row r="680">
      <c r="A680" s="1" t="inlineStr">
        <is>
          <t>2021-05-21</t>
        </is>
      </c>
      <c r="B680" t="inlineStr">
        <is>
          <t>news</t>
        </is>
      </c>
      <c r="C680" t="inlineStr">
        <is>
          <t>economy</t>
        </is>
      </c>
      <c r="D680" t="inlineStr">
        <is>
          <t>조선일보</t>
        </is>
      </c>
      <c r="E680" t="inlineStr">
        <is>
          <t>이성훈</t>
        </is>
      </c>
      <c r="F680" t="inlineStr">
        <is>
          <t>SK, 美 포드와 배터리 합작</t>
        </is>
      </c>
      <c r="G680" s="2">
        <f>HYPERLINK("https://www.chosun.com/economy/industry-company/2021/05/21/F3BJSYTQ6RA6XLDFLBXRHLJVXM/?utm_medium=referral&amp;utm_campaign=naver-news", "Go to Website")</f>
        <v/>
      </c>
      <c r="H680" t="inlineStr"/>
      <c r="I680" t="inlineStr">
        <is>
          <t>K64</t>
        </is>
      </c>
      <c r="J680" s="3" t="n">
        <v>0.991</v>
      </c>
      <c r="K680" t="inlineStr">
        <is>
          <t>금융업</t>
        </is>
      </c>
      <c r="L680" t="inlineStr">
        <is>
          <t>1</t>
        </is>
      </c>
      <c r="M680" s="3" t="n">
        <v>0.714</v>
      </c>
      <c r="N680" t="inlineStr">
        <is>
          <t>긍정</t>
        </is>
      </c>
    </row>
    <row r="681">
      <c r="A681" s="1" t="inlineStr">
        <is>
          <t>2021-05-21</t>
        </is>
      </c>
      <c r="B681" t="inlineStr">
        <is>
          <t>news</t>
        </is>
      </c>
      <c r="C681" t="inlineStr">
        <is>
          <t>economy</t>
        </is>
      </c>
      <c r="D681" t="inlineStr">
        <is>
          <t>세계일보</t>
        </is>
      </c>
      <c r="E681" t="inlineStr"/>
      <c r="F681" t="inlineStr">
        <is>
          <t>[이코노 브리핑] 하나은행, 지역인재 신입행원 공채 외</t>
        </is>
      </c>
      <c r="G681" s="2">
        <f>HYPERLINK("http://www.segye.com/content/html/2021/05/20/20210520515563.html", "Go to Website")</f>
        <v/>
      </c>
      <c r="H681" t="inlineStr"/>
      <c r="I681" t="inlineStr">
        <is>
          <t>K64</t>
        </is>
      </c>
      <c r="J681" s="3" t="n">
        <v>1</v>
      </c>
      <c r="K681" t="inlineStr">
        <is>
          <t>금융업</t>
        </is>
      </c>
      <c r="L681" t="inlineStr"/>
      <c r="M681" t="inlineStr"/>
      <c r="N681" t="inlineStr"/>
    </row>
    <row r="682">
      <c r="A682" s="1" t="inlineStr">
        <is>
          <t>2021-05-21</t>
        </is>
      </c>
      <c r="B682" t="inlineStr">
        <is>
          <t>news</t>
        </is>
      </c>
      <c r="C682" t="inlineStr">
        <is>
          <t>economy</t>
        </is>
      </c>
      <c r="D682" t="inlineStr">
        <is>
          <t>세계일보</t>
        </is>
      </c>
      <c r="E682" t="inlineStr">
        <is>
          <t>김범수</t>
        </is>
      </c>
      <c r="F682" t="inlineStr">
        <is>
          <t>신한금융 “2030년까지 업무용車 전기·수소차 전환”</t>
        </is>
      </c>
      <c r="G682" s="2">
        <f>HYPERLINK("http://www.segye.com/content/html/2021/05/20/20210520515568.html", "Go to Website")</f>
        <v/>
      </c>
      <c r="H682" t="inlineStr"/>
      <c r="I682" t="inlineStr">
        <is>
          <t>C28</t>
        </is>
      </c>
      <c r="J682" s="3" t="n">
        <v>0.931</v>
      </c>
      <c r="K682" t="inlineStr">
        <is>
          <t>전기장비 제조업</t>
        </is>
      </c>
      <c r="L682" t="inlineStr">
        <is>
          <t>0</t>
        </is>
      </c>
      <c r="M682" s="3" t="n">
        <v>0.957</v>
      </c>
      <c r="N682" t="inlineStr">
        <is>
          <t>중립</t>
        </is>
      </c>
    </row>
    <row r="683">
      <c r="A683" s="1" t="inlineStr">
        <is>
          <t>2021-05-21</t>
        </is>
      </c>
      <c r="B683" t="inlineStr">
        <is>
          <t>news</t>
        </is>
      </c>
      <c r="C683" t="inlineStr">
        <is>
          <t>economy</t>
        </is>
      </c>
      <c r="D683" t="inlineStr">
        <is>
          <t>동아일보</t>
        </is>
      </c>
      <c r="E683" t="inlineStr">
        <is>
          <t>홍석호</t>
        </is>
      </c>
      <c r="F683" t="inlineStr">
        <is>
          <t>롯데케미칼도 전기차 배터리 소재 사업 진출</t>
        </is>
      </c>
      <c r="G683" s="2">
        <f>HYPERLINK("https://www.donga.com/news/article/all/20210520/107038895/1", "Go to Website")</f>
        <v/>
      </c>
      <c r="H683" t="inlineStr"/>
      <c r="I683" t="inlineStr">
        <is>
          <t>C20</t>
        </is>
      </c>
      <c r="J683" s="3" t="n">
        <v>1</v>
      </c>
      <c r="K683" t="inlineStr">
        <is>
          <t>화학 물질 및 화학제품 제조업; 의약품 제외</t>
        </is>
      </c>
      <c r="L683" t="inlineStr">
        <is>
          <t>1</t>
        </is>
      </c>
      <c r="M683" s="3" t="n">
        <v>0.999</v>
      </c>
      <c r="N683" t="inlineStr">
        <is>
          <t>긍정</t>
        </is>
      </c>
    </row>
    <row r="684">
      <c r="A684" s="1" t="inlineStr">
        <is>
          <t>2021-05-21</t>
        </is>
      </c>
      <c r="B684" t="inlineStr">
        <is>
          <t>news</t>
        </is>
      </c>
      <c r="C684" t="inlineStr">
        <is>
          <t>economy</t>
        </is>
      </c>
      <c r="D684" t="inlineStr">
        <is>
          <t>동아일보</t>
        </is>
      </c>
      <c r="E684" t="inlineStr">
        <is>
          <t>변종국</t>
        </is>
      </c>
      <c r="F684" t="inlineStr">
        <is>
          <t>포스코, 2차전지 핵심 니켈 호주업체 지분 인수</t>
        </is>
      </c>
      <c r="G684" s="2">
        <f>HYPERLINK("https://www.donga.com/news/article/all/20210520/107038888/1", "Go to Website")</f>
        <v/>
      </c>
      <c r="H684" t="inlineStr"/>
      <c r="I684" t="inlineStr">
        <is>
          <t>C24</t>
        </is>
      </c>
      <c r="J684" s="3" t="n">
        <v>1</v>
      </c>
      <c r="K684" t="inlineStr">
        <is>
          <t>1차 금속 제조업</t>
        </is>
      </c>
      <c r="L684" t="inlineStr">
        <is>
          <t>0</t>
        </is>
      </c>
      <c r="M684" s="3" t="n">
        <v>0.577</v>
      </c>
      <c r="N684" t="inlineStr">
        <is>
          <t>중립</t>
        </is>
      </c>
    </row>
    <row r="685">
      <c r="A685" s="1" t="inlineStr">
        <is>
          <t>2021-05-21</t>
        </is>
      </c>
      <c r="B685" t="inlineStr">
        <is>
          <t>news</t>
        </is>
      </c>
      <c r="C685" t="inlineStr">
        <is>
          <t>economy</t>
        </is>
      </c>
      <c r="D685" t="inlineStr">
        <is>
          <t>동아일보</t>
        </is>
      </c>
      <c r="E685" t="inlineStr"/>
      <c r="F685" t="inlineStr">
        <is>
          <t>車반도체 부족에 휴업, 한산한 현대차 공장</t>
        </is>
      </c>
      <c r="G685" s="2">
        <f>HYPERLINK("https://www.donga.com/news/article/all/20210520/107038884/1", "Go to Website")</f>
        <v/>
      </c>
      <c r="H685" t="inlineStr"/>
      <c r="I685" t="inlineStr">
        <is>
          <t>C30</t>
        </is>
      </c>
      <c r="J685" s="3" t="n">
        <v>0.984</v>
      </c>
      <c r="K685" t="inlineStr">
        <is>
          <t>자동차 및 트레일러 제조업</t>
        </is>
      </c>
      <c r="L685" t="inlineStr">
        <is>
          <t>-1</t>
        </is>
      </c>
      <c r="M685" s="3" t="n">
        <v>0.954</v>
      </c>
      <c r="N685" t="inlineStr">
        <is>
          <t>부정</t>
        </is>
      </c>
    </row>
    <row r="686">
      <c r="A686" s="1" t="inlineStr">
        <is>
          <t>2021-05-21</t>
        </is>
      </c>
      <c r="B686" t="inlineStr">
        <is>
          <t>news</t>
        </is>
      </c>
      <c r="C686" t="inlineStr">
        <is>
          <t>economy</t>
        </is>
      </c>
      <c r="D686" t="inlineStr">
        <is>
          <t>동아일보</t>
        </is>
      </c>
      <c r="E686" t="inlineStr">
        <is>
          <t>서형석</t>
        </is>
      </c>
      <c r="F686" t="inlineStr">
        <is>
          <t>아우디, 고성능 전기차 2종 공개… 1회 충전으로 최대 488km 달려</t>
        </is>
      </c>
      <c r="G686" s="2">
        <f>HYPERLINK("https://www.donga.com/news/article/all/20210520/107038836/1", "Go to Website")</f>
        <v/>
      </c>
      <c r="H686" t="inlineStr"/>
      <c r="I686" t="inlineStr">
        <is>
          <t>100</t>
        </is>
      </c>
      <c r="J686" s="3" t="n">
        <v>0.913</v>
      </c>
      <c r="K686" t="inlineStr">
        <is>
          <t>분류 제외, 기타</t>
        </is>
      </c>
      <c r="L686" t="inlineStr"/>
      <c r="M686" t="inlineStr"/>
      <c r="N686" t="inlineStr"/>
    </row>
    <row r="687">
      <c r="A687" s="1" t="inlineStr">
        <is>
          <t>2021-05-21</t>
        </is>
      </c>
      <c r="B687" t="inlineStr">
        <is>
          <t>news</t>
        </is>
      </c>
      <c r="C687" t="inlineStr">
        <is>
          <t>economy</t>
        </is>
      </c>
      <c r="D687" t="inlineStr">
        <is>
          <t>조선일보</t>
        </is>
      </c>
      <c r="E687" t="inlineStr">
        <is>
          <t>신수지</t>
        </is>
      </c>
      <c r="F687" t="inlineStr">
        <is>
          <t>[Mint] ‘고위험 고수익’ 달려들던 서학개미, 소심해졌네</t>
        </is>
      </c>
      <c r="G687" s="2">
        <f>HYPERLINK("https://www.chosun.com/economy/mint/2021/05/21/MKPOD77ETVH4TBC25IVIHHPEFU/?utm_medium=referral&amp;utm_campaign=naver-news", "Go to Website")</f>
        <v/>
      </c>
      <c r="H687" t="inlineStr"/>
      <c r="I687" t="inlineStr">
        <is>
          <t>K64</t>
        </is>
      </c>
      <c r="J687" s="3" t="n">
        <v>0.918</v>
      </c>
      <c r="K687" t="inlineStr">
        <is>
          <t>금융업</t>
        </is>
      </c>
      <c r="L687" t="inlineStr">
        <is>
          <t>0</t>
        </is>
      </c>
      <c r="M687" s="3" t="n">
        <v>0.8100000000000001</v>
      </c>
      <c r="N687" t="inlineStr">
        <is>
          <t>중립</t>
        </is>
      </c>
    </row>
    <row r="688">
      <c r="A688" s="1" t="inlineStr">
        <is>
          <t>2021-05-21</t>
        </is>
      </c>
      <c r="B688" t="inlineStr">
        <is>
          <t>news</t>
        </is>
      </c>
      <c r="C688" t="inlineStr">
        <is>
          <t>economy</t>
        </is>
      </c>
      <c r="D688" t="inlineStr">
        <is>
          <t>세계일보</t>
        </is>
      </c>
      <c r="E688" t="inlineStr">
        <is>
          <t>이정우</t>
        </is>
      </c>
      <c r="F688" t="inlineStr">
        <is>
          <t>포스코 ‘이차전지용 니켈’ 2700억 투자</t>
        </is>
      </c>
      <c r="G688" s="2">
        <f>HYPERLINK("http://www.segye.com/content/html/2021/05/20/20210520515662.html", "Go to Website")</f>
        <v/>
      </c>
      <c r="H688" t="inlineStr"/>
      <c r="I688" t="inlineStr">
        <is>
          <t>C24</t>
        </is>
      </c>
      <c r="J688" s="3" t="n">
        <v>0.972</v>
      </c>
      <c r="K688" t="inlineStr">
        <is>
          <t>1차 금속 제조업</t>
        </is>
      </c>
      <c r="L688" t="inlineStr">
        <is>
          <t>1</t>
        </is>
      </c>
      <c r="M688" s="3" t="n">
        <v>0.778</v>
      </c>
      <c r="N688" t="inlineStr">
        <is>
          <t>긍정</t>
        </is>
      </c>
    </row>
    <row r="689">
      <c r="A689" s="1" t="inlineStr">
        <is>
          <t>2021-05-21</t>
        </is>
      </c>
      <c r="B689" t="inlineStr">
        <is>
          <t>news</t>
        </is>
      </c>
      <c r="C689" t="inlineStr">
        <is>
          <t>economy</t>
        </is>
      </c>
      <c r="D689" t="inlineStr">
        <is>
          <t>동아일보</t>
        </is>
      </c>
      <c r="E689" t="inlineStr">
        <is>
          <t>변종국</t>
        </is>
      </c>
      <c r="F689" t="inlineStr">
        <is>
          <t>LG - GM 이어 SK-포드 ‘한미 車배터리 동맹’</t>
        </is>
      </c>
      <c r="G689" s="2">
        <f>HYPERLINK("https://www.donga.com/news/article/all/20210521/107039873/1", "Go to Website")</f>
        <v/>
      </c>
      <c r="H689" t="inlineStr"/>
      <c r="I689" t="inlineStr">
        <is>
          <t>C30</t>
        </is>
      </c>
      <c r="J689" s="3" t="n">
        <v>0.993</v>
      </c>
      <c r="K689" t="inlineStr">
        <is>
          <t>자동차 및 트레일러 제조업</t>
        </is>
      </c>
      <c r="L689" t="inlineStr"/>
      <c r="M689" t="inlineStr"/>
      <c r="N689" t="inlineStr"/>
    </row>
    <row r="690">
      <c r="A690" s="1" t="inlineStr">
        <is>
          <t>2021-05-21</t>
        </is>
      </c>
      <c r="B690" t="inlineStr">
        <is>
          <t>news</t>
        </is>
      </c>
      <c r="C690" t="inlineStr">
        <is>
          <t>economy</t>
        </is>
      </c>
      <c r="D690" t="inlineStr">
        <is>
          <t>조선일보</t>
        </is>
      </c>
      <c r="E690" t="inlineStr">
        <is>
          <t>이태동</t>
        </is>
      </c>
      <c r="F690" t="inlineStr">
        <is>
          <t>[Mint] 남는 전력 묶어 필요한 곳 주는 ‘가상 발전소’… 에너지 시장 판이 바뀐다</t>
        </is>
      </c>
      <c r="G690" s="2">
        <f>HYPERLINK("https://www.chosun.com/economy/mint/2021/05/21/H5IDVKISM5BZ5O7JPZ7K62J7K4/?utm_medium=referral&amp;utm_campaign=naver-news", "Go to Website")</f>
        <v/>
      </c>
      <c r="H690" t="inlineStr"/>
      <c r="I690" t="inlineStr">
        <is>
          <t>100</t>
        </is>
      </c>
      <c r="J690" s="3" t="n">
        <v>0.595</v>
      </c>
      <c r="K690" t="inlineStr">
        <is>
          <t>분류 제외, 기타</t>
        </is>
      </c>
      <c r="L690" t="inlineStr"/>
      <c r="M690" t="inlineStr"/>
      <c r="N690" t="inlineStr"/>
    </row>
    <row r="691">
      <c r="A691" s="1" t="inlineStr">
        <is>
          <t>2021-05-21</t>
        </is>
      </c>
      <c r="B691" t="inlineStr">
        <is>
          <t>news</t>
        </is>
      </c>
      <c r="C691" t="inlineStr">
        <is>
          <t>economy</t>
        </is>
      </c>
      <c r="D691" t="inlineStr">
        <is>
          <t>세계일보</t>
        </is>
      </c>
      <c r="E691" t="inlineStr"/>
      <c r="F691" t="inlineStr">
        <is>
          <t>[부동산 단신] 포천 금호어울림 센트럴 24일부터 계약 외</t>
        </is>
      </c>
      <c r="G691" s="2">
        <f>HYPERLINK("http://www.segye.com/content/html/2021/05/20/20210520514233.html", "Go to Website")</f>
        <v/>
      </c>
      <c r="H691" t="inlineStr"/>
      <c r="I691" t="inlineStr">
        <is>
          <t>F41</t>
        </is>
      </c>
      <c r="J691" s="3" t="n">
        <v>1</v>
      </c>
      <c r="K691" t="inlineStr">
        <is>
          <t>종합 건설업</t>
        </is>
      </c>
      <c r="L691" t="inlineStr"/>
      <c r="M691" t="inlineStr"/>
      <c r="N691" t="inlineStr"/>
    </row>
    <row r="692">
      <c r="A692" s="1" t="inlineStr">
        <is>
          <t>2021-05-21</t>
        </is>
      </c>
      <c r="B692" t="inlineStr">
        <is>
          <t>news</t>
        </is>
      </c>
      <c r="C692" t="inlineStr">
        <is>
          <t>economy</t>
        </is>
      </c>
      <c r="D692" t="inlineStr">
        <is>
          <t>SBS</t>
        </is>
      </c>
      <c r="E692" t="inlineStr">
        <is>
          <t>장훈경</t>
        </is>
      </c>
      <c r="F692" t="inlineStr">
        <is>
          <t>요금 더 비싼 전기차 급속충전기, 0만 찍으면 '공짜'</t>
        </is>
      </c>
      <c r="G692" s="2">
        <f>HYPERLINK("https://news.sbs.co.kr/news/endPage.do?news_id=N1006325892", "Go to Website")</f>
        <v/>
      </c>
      <c r="H692" t="inlineStr"/>
      <c r="I692" t="inlineStr">
        <is>
          <t>N76</t>
        </is>
      </c>
      <c r="J692" s="3" t="n">
        <v>1</v>
      </c>
      <c r="K692" t="inlineStr">
        <is>
          <t>임대업; 부동산 제외</t>
        </is>
      </c>
      <c r="L692" t="inlineStr"/>
      <c r="M692" t="inlineStr"/>
      <c r="N692" t="inlineStr"/>
    </row>
    <row r="693">
      <c r="A693" s="1" t="inlineStr">
        <is>
          <t>2021-05-21</t>
        </is>
      </c>
      <c r="B693" t="inlineStr">
        <is>
          <t>news</t>
        </is>
      </c>
      <c r="C693" t="inlineStr">
        <is>
          <t>economy</t>
        </is>
      </c>
      <c r="D693" t="inlineStr">
        <is>
          <t>뉴시스</t>
        </is>
      </c>
      <c r="E693" t="inlineStr">
        <is>
          <t>박주연</t>
        </is>
      </c>
      <c r="F693" t="inlineStr">
        <is>
          <t>현대차·기아, 유럽판매 4배 '껑충'…BMW도 제쳐(종합)</t>
        </is>
      </c>
      <c r="G693" s="2">
        <f>HYPERLINK("http://www.newsis.com/view/?id=NISX20210520_0001447724&amp;cID=13001&amp;pID=13000", "Go to Website")</f>
        <v/>
      </c>
      <c r="H693" t="inlineStr"/>
      <c r="I693" t="inlineStr">
        <is>
          <t>C30</t>
        </is>
      </c>
      <c r="J693" s="3" t="n">
        <v>1</v>
      </c>
      <c r="K693" t="inlineStr">
        <is>
          <t>자동차 및 트레일러 제조업</t>
        </is>
      </c>
      <c r="L693" t="inlineStr"/>
      <c r="M693" t="inlineStr"/>
      <c r="N693" t="inlineStr"/>
    </row>
    <row r="694">
      <c r="A694" s="1" t="inlineStr">
        <is>
          <t>2021-05-21</t>
        </is>
      </c>
      <c r="B694" t="inlineStr">
        <is>
          <t>news</t>
        </is>
      </c>
      <c r="C694" t="inlineStr">
        <is>
          <t>economy</t>
        </is>
      </c>
      <c r="D694" t="inlineStr">
        <is>
          <t>뉴시스</t>
        </is>
      </c>
      <c r="E694" t="inlineStr">
        <is>
          <t>박주연</t>
        </is>
      </c>
      <c r="F694" t="inlineStr">
        <is>
          <t>'보조금 놓칠라'…현대차, 아이오닉5 출고 안간힘(종합)</t>
        </is>
      </c>
      <c r="G694" s="2">
        <f>HYPERLINK("http://www.newsis.com/view/?id=NISX20210520_0001447772&amp;cID=13001&amp;pID=13000", "Go to Website")</f>
        <v/>
      </c>
      <c r="H694" t="inlineStr"/>
      <c r="I694" t="inlineStr">
        <is>
          <t>C30</t>
        </is>
      </c>
      <c r="J694" s="3" t="n">
        <v>0.999</v>
      </c>
      <c r="K694" t="inlineStr">
        <is>
          <t>자동차 및 트레일러 제조업</t>
        </is>
      </c>
      <c r="L694" t="inlineStr">
        <is>
          <t>0</t>
        </is>
      </c>
      <c r="M694" s="3" t="n">
        <v>0.44</v>
      </c>
      <c r="N694" t="inlineStr">
        <is>
          <t>중립</t>
        </is>
      </c>
    </row>
    <row r="695">
      <c r="A695" s="1" t="inlineStr">
        <is>
          <t>2021-05-21</t>
        </is>
      </c>
      <c r="B695" t="inlineStr">
        <is>
          <t>news</t>
        </is>
      </c>
      <c r="C695" t="inlineStr">
        <is>
          <t>economy</t>
        </is>
      </c>
      <c r="D695" t="inlineStr">
        <is>
          <t>이데일리</t>
        </is>
      </c>
      <c r="E695" t="inlineStr">
        <is>
          <t>김소연</t>
        </is>
      </c>
      <c r="F695" t="inlineStr">
        <is>
          <t>한미 정상회담에 쏠린 눈…반도체·배터리 관련주 기대↑</t>
        </is>
      </c>
      <c r="G695" s="2">
        <f>HYPERLINK("http://www.edaily.co.kr/news/newspath.asp?newsid=01108646629051216", "Go to Website")</f>
        <v/>
      </c>
      <c r="H695" t="inlineStr"/>
      <c r="I695" t="inlineStr">
        <is>
          <t>C29</t>
        </is>
      </c>
      <c r="J695" s="3" t="n">
        <v>0.78</v>
      </c>
      <c r="K695" t="inlineStr">
        <is>
          <t>기타 기계 및 장비 제조업</t>
        </is>
      </c>
      <c r="L695" t="inlineStr"/>
      <c r="M695" t="inlineStr"/>
      <c r="N695" t="inlineStr"/>
    </row>
    <row r="696">
      <c r="A696" s="1" t="inlineStr">
        <is>
          <t>2021-05-21</t>
        </is>
      </c>
      <c r="B696" t="inlineStr">
        <is>
          <t>news</t>
        </is>
      </c>
      <c r="C696" t="inlineStr">
        <is>
          <t>tech</t>
        </is>
      </c>
      <c r="D696" t="inlineStr">
        <is>
          <t>전자신문</t>
        </is>
      </c>
      <c r="E696" t="inlineStr">
        <is>
          <t>김지웅</t>
        </is>
      </c>
      <c r="F696" t="inlineStr">
        <is>
          <t>SK이노-포드, 미국에 전기차 배터리 합작사 설립</t>
        </is>
      </c>
      <c r="G696" s="2">
        <f>HYPERLINK("http://www.etnews.com/20210521000001", "Go to Website")</f>
        <v/>
      </c>
      <c r="H696" t="inlineStr"/>
      <c r="I696" t="inlineStr"/>
      <c r="J696" t="inlineStr"/>
      <c r="K696" t="inlineStr"/>
      <c r="L696" t="inlineStr"/>
      <c r="M696" t="inlineStr"/>
      <c r="N696" t="inlineStr"/>
    </row>
    <row r="697">
      <c r="A697" s="1" t="inlineStr">
        <is>
          <t>2021-05-21</t>
        </is>
      </c>
      <c r="B697" t="inlineStr">
        <is>
          <t>news</t>
        </is>
      </c>
      <c r="C697" t="inlineStr">
        <is>
          <t>economy</t>
        </is>
      </c>
      <c r="D697" t="inlineStr">
        <is>
          <t>뉴시스</t>
        </is>
      </c>
      <c r="E697" t="inlineStr">
        <is>
          <t>이재은</t>
        </is>
      </c>
      <c r="F697" t="inlineStr">
        <is>
          <t>'경제외교' 4대 그룹 방미…한미정상회담서 투자발표 주목(종합)</t>
        </is>
      </c>
      <c r="G697" s="2">
        <f>HYPERLINK("http://www.newsis.com/view/?id=NISX20210520_0001447024&amp;cID=13001&amp;pID=13000", "Go to Website")</f>
        <v/>
      </c>
      <c r="H697" t="inlineStr"/>
      <c r="I697" t="inlineStr">
        <is>
          <t>K64</t>
        </is>
      </c>
      <c r="J697" s="3" t="n">
        <v>0.76</v>
      </c>
      <c r="K697" t="inlineStr">
        <is>
          <t>금융업</t>
        </is>
      </c>
      <c r="L697" t="inlineStr"/>
      <c r="M697" t="inlineStr"/>
      <c r="N697" t="inlineStr"/>
    </row>
    <row r="698">
      <c r="A698" s="1" t="inlineStr">
        <is>
          <t>2021-05-20</t>
        </is>
      </c>
      <c r="B698" t="inlineStr">
        <is>
          <t>news</t>
        </is>
      </c>
      <c r="C698" t="inlineStr">
        <is>
          <t>economy</t>
        </is>
      </c>
      <c r="D698" t="inlineStr">
        <is>
          <t>노컷뉴스</t>
        </is>
      </c>
      <c r="E698" t="inlineStr">
        <is>
          <t>유동근</t>
        </is>
      </c>
      <c r="F698" t="inlineStr">
        <is>
          <t>SK이노베이션, 美 포드와 '배터리 합작법인' 설립</t>
        </is>
      </c>
      <c r="G698" s="2">
        <f>HYPERLINK("https://www.nocutnews.co.kr/news/5556339", "Go to Website")</f>
        <v/>
      </c>
      <c r="H698" t="inlineStr"/>
      <c r="I698" t="inlineStr">
        <is>
          <t>K64</t>
        </is>
      </c>
      <c r="J698" s="3" t="n">
        <v>0.998</v>
      </c>
      <c r="K698" t="inlineStr">
        <is>
          <t>금융업</t>
        </is>
      </c>
      <c r="L698" t="inlineStr">
        <is>
          <t>1</t>
        </is>
      </c>
      <c r="M698" s="3" t="n">
        <v>0.895</v>
      </c>
      <c r="N698" t="inlineStr">
        <is>
          <t>긍정</t>
        </is>
      </c>
    </row>
    <row r="699">
      <c r="A699" s="1" t="inlineStr">
        <is>
          <t>2021-05-20</t>
        </is>
      </c>
      <c r="B699" t="inlineStr">
        <is>
          <t>news</t>
        </is>
      </c>
      <c r="C699" t="inlineStr">
        <is>
          <t>economy</t>
        </is>
      </c>
      <c r="D699" t="inlineStr">
        <is>
          <t>한국경제TV</t>
        </is>
      </c>
      <c r="E699" t="inlineStr">
        <is>
          <t>송민화</t>
        </is>
      </c>
      <c r="F699" t="inlineStr">
        <is>
          <t>"6조원 통 큰 투자"…SK이노-포드, 배터리 합작사 설립</t>
        </is>
      </c>
      <c r="G699" s="2">
        <f>HYPERLINK("http://www.wowtv.co.kr/NewsCenter/News/Read?articleId=A202105200387&amp;t=NN", "Go to Website")</f>
        <v/>
      </c>
      <c r="H699" t="inlineStr"/>
      <c r="I699" t="inlineStr">
        <is>
          <t>K64</t>
        </is>
      </c>
      <c r="J699" s="3" t="n">
        <v>0.9360000000000001</v>
      </c>
      <c r="K699" t="inlineStr">
        <is>
          <t>금융업</t>
        </is>
      </c>
      <c r="L699" t="inlineStr"/>
      <c r="M699" t="inlineStr"/>
      <c r="N699" t="inlineStr"/>
    </row>
    <row r="700">
      <c r="A700" s="1" t="inlineStr">
        <is>
          <t>2021-05-20</t>
        </is>
      </c>
      <c r="B700" t="inlineStr">
        <is>
          <t>news</t>
        </is>
      </c>
      <c r="C700" t="inlineStr">
        <is>
          <t>economy</t>
        </is>
      </c>
      <c r="D700" t="inlineStr">
        <is>
          <t>동아일보</t>
        </is>
      </c>
      <c r="E700" t="inlineStr">
        <is>
          <t>동아닷컴</t>
        </is>
      </c>
      <c r="F700" t="inlineStr">
        <is>
          <t>람보르기니, 2024년까지 전 제품군 전기화…15억유로 투자 진행</t>
        </is>
      </c>
      <c r="G700" s="2">
        <f>HYPERLINK("https://www.donga.com/news/article/all/20210520/107038901/2", "Go to Website")</f>
        <v/>
      </c>
      <c r="H700" t="inlineStr"/>
      <c r="I700" t="inlineStr">
        <is>
          <t>C30</t>
        </is>
      </c>
      <c r="J700" s="3" t="n">
        <v>1</v>
      </c>
      <c r="K700" t="inlineStr">
        <is>
          <t>자동차 및 트레일러 제조업</t>
        </is>
      </c>
      <c r="L700" t="inlineStr"/>
      <c r="M700" t="inlineStr"/>
      <c r="N700" t="inlineStr"/>
    </row>
    <row r="701">
      <c r="A701" s="1" t="inlineStr">
        <is>
          <t>2021-05-20</t>
        </is>
      </c>
      <c r="B701" t="inlineStr">
        <is>
          <t>news</t>
        </is>
      </c>
      <c r="C701" t="inlineStr">
        <is>
          <t>economy</t>
        </is>
      </c>
      <c r="D701" t="inlineStr">
        <is>
          <t>SBS</t>
        </is>
      </c>
      <c r="E701" t="inlineStr">
        <is>
          <t>정성진</t>
        </is>
      </c>
      <c r="F701" t="inlineStr">
        <is>
          <t>SK, 포드와 6조 원대 합작사 설립…미국 전기차 배터리 시장 확장</t>
        </is>
      </c>
      <c r="G701" s="2">
        <f>HYPERLINK("https://news.sbs.co.kr/news/endPage.do?news_id=N1006325885", "Go to Website")</f>
        <v/>
      </c>
      <c r="H701" t="inlineStr"/>
      <c r="I701" t="inlineStr">
        <is>
          <t>C30</t>
        </is>
      </c>
      <c r="J701" s="3" t="n">
        <v>0.655</v>
      </c>
      <c r="K701" t="inlineStr">
        <is>
          <t>자동차 및 트레일러 제조업</t>
        </is>
      </c>
      <c r="L701" t="inlineStr">
        <is>
          <t>1</t>
        </is>
      </c>
      <c r="M701" s="3" t="n">
        <v>0.986</v>
      </c>
      <c r="N701" t="inlineStr">
        <is>
          <t>긍정</t>
        </is>
      </c>
    </row>
    <row r="702">
      <c r="A702" s="1" t="inlineStr">
        <is>
          <t>2021-05-20</t>
        </is>
      </c>
      <c r="B702" t="inlineStr">
        <is>
          <t>news</t>
        </is>
      </c>
      <c r="C702" t="inlineStr">
        <is>
          <t>economy</t>
        </is>
      </c>
      <c r="D702" t="inlineStr">
        <is>
          <t>MBN</t>
        </is>
      </c>
      <c r="E702" t="inlineStr">
        <is>
          <t>이상범</t>
        </is>
      </c>
      <c r="F702" t="inlineStr">
        <is>
          <t>롯데케미칼, 배터리용 전해액 유기용매 생산 공장 건설</t>
        </is>
      </c>
      <c r="G702" s="2">
        <f>HYPERLINK("http://mbn.mk.co.kr/pages/news/newsView.php?category=mbn00003&amp;news_seq_no=4507424", "Go to Website")</f>
        <v/>
      </c>
      <c r="H702" t="inlineStr"/>
      <c r="I702" t="inlineStr">
        <is>
          <t>C20</t>
        </is>
      </c>
      <c r="J702" s="3" t="n">
        <v>0.985</v>
      </c>
      <c r="K702" t="inlineStr">
        <is>
          <t>화학 물질 및 화학제품 제조업; 의약품 제외</t>
        </is>
      </c>
      <c r="L702" t="inlineStr">
        <is>
          <t>1</t>
        </is>
      </c>
      <c r="M702" s="3" t="n">
        <v>0.646</v>
      </c>
      <c r="N702" t="inlineStr">
        <is>
          <t>긍정</t>
        </is>
      </c>
    </row>
    <row r="703">
      <c r="A703" s="1" t="inlineStr">
        <is>
          <t>2021-05-20</t>
        </is>
      </c>
      <c r="B703" t="inlineStr">
        <is>
          <t>news</t>
        </is>
      </c>
      <c r="C703" t="inlineStr">
        <is>
          <t>economy</t>
        </is>
      </c>
      <c r="D703" t="inlineStr">
        <is>
          <t>연합뉴스</t>
        </is>
      </c>
      <c r="E703" t="inlineStr">
        <is>
          <t>김영신</t>
        </is>
      </c>
      <c r="F703" t="inlineStr">
        <is>
          <t>LG 이어 SK도 대규모 합작…그린뉴딜 타고 미국 공략 가속(종합)</t>
        </is>
      </c>
      <c r="G703" s="2">
        <f>HYPERLINK("http://yna.kr/AKR20210520144151003?did=1195m", "Go to Website")</f>
        <v/>
      </c>
      <c r="H703" t="inlineStr"/>
      <c r="I703" t="inlineStr">
        <is>
          <t>K64</t>
        </is>
      </c>
      <c r="J703" s="3" t="n">
        <v>0.992</v>
      </c>
      <c r="K703" t="inlineStr">
        <is>
          <t>금융업</t>
        </is>
      </c>
      <c r="L703" t="inlineStr"/>
      <c r="M703" t="inlineStr"/>
      <c r="N703" t="inlineStr"/>
    </row>
    <row r="704">
      <c r="A704" s="1" t="inlineStr">
        <is>
          <t>2021-05-20</t>
        </is>
      </c>
      <c r="B704" t="inlineStr">
        <is>
          <t>news</t>
        </is>
      </c>
      <c r="C704" t="inlineStr">
        <is>
          <t>economy</t>
        </is>
      </c>
      <c r="D704" t="inlineStr">
        <is>
          <t>KBS</t>
        </is>
      </c>
      <c r="E704" t="inlineStr"/>
      <c r="F704" t="inlineStr">
        <is>
          <t>SK이노베이션, 포드와 미국서 6조원대 배터리 합작사 설립</t>
        </is>
      </c>
      <c r="G704" s="2">
        <f>HYPERLINK("https://news.kbs.co.kr/news/view.do?ncd=5190563&amp;ref=A", "Go to Website")</f>
        <v/>
      </c>
      <c r="H704" t="inlineStr"/>
      <c r="I704" t="inlineStr">
        <is>
          <t>K64</t>
        </is>
      </c>
      <c r="J704" s="3" t="n">
        <v>0.962</v>
      </c>
      <c r="K704" t="inlineStr">
        <is>
          <t>금융업</t>
        </is>
      </c>
      <c r="L704" t="inlineStr">
        <is>
          <t>1</t>
        </is>
      </c>
      <c r="M704" s="3" t="n">
        <v>0.995</v>
      </c>
      <c r="N704" t="inlineStr">
        <is>
          <t>긍정</t>
        </is>
      </c>
    </row>
    <row r="705">
      <c r="A705" s="1" t="inlineStr">
        <is>
          <t>2021-05-20</t>
        </is>
      </c>
      <c r="B705" t="inlineStr">
        <is>
          <t>news</t>
        </is>
      </c>
      <c r="C705" t="inlineStr">
        <is>
          <t>economy</t>
        </is>
      </c>
      <c r="D705" t="inlineStr">
        <is>
          <t>뉴스1</t>
        </is>
      </c>
      <c r="E705" t="inlineStr">
        <is>
          <t>구교운</t>
        </is>
      </c>
      <c r="F705" t="inlineStr">
        <is>
          <t>SK이노, 6조 투입해 포드와 합작사 설립…美배터리사업 확대(종합)</t>
        </is>
      </c>
      <c r="G705" s="2">
        <f>HYPERLINK("https://www.news1.kr/articles/?4312993", "Go to Website")</f>
        <v/>
      </c>
      <c r="H705" t="inlineStr"/>
      <c r="I705" t="inlineStr">
        <is>
          <t>K64</t>
        </is>
      </c>
      <c r="J705" s="3" t="n">
        <v>0.998</v>
      </c>
      <c r="K705" t="inlineStr">
        <is>
          <t>금융업</t>
        </is>
      </c>
      <c r="L705" t="inlineStr"/>
      <c r="M705" t="inlineStr"/>
      <c r="N705" t="inlineStr"/>
    </row>
    <row r="706">
      <c r="A706" s="1" t="inlineStr">
        <is>
          <t>2021-05-20</t>
        </is>
      </c>
      <c r="B706" t="inlineStr">
        <is>
          <t>news</t>
        </is>
      </c>
      <c r="C706" t="inlineStr">
        <is>
          <t>economy</t>
        </is>
      </c>
      <c r="D706" t="inlineStr">
        <is>
          <t>한국일보</t>
        </is>
      </c>
      <c r="E706" t="inlineStr">
        <is>
          <t>김경준</t>
        </is>
      </c>
      <c r="F706" t="inlineStr">
        <is>
          <t>"중국 게 섯거라"… SK-포드 합작사 설립, 한미 배터리 동맹 가속화</t>
        </is>
      </c>
      <c r="G706" s="2">
        <f>HYPERLINK("https://hankookilbo.com/News/Read/A2021052022050000948?did=NA", "Go to Website")</f>
        <v/>
      </c>
      <c r="H706" t="inlineStr"/>
      <c r="I706" t="inlineStr">
        <is>
          <t>C28</t>
        </is>
      </c>
      <c r="J706" s="3" t="n">
        <v>0.59</v>
      </c>
      <c r="K706" t="inlineStr">
        <is>
          <t>전기장비 제조업</t>
        </is>
      </c>
      <c r="L706" t="inlineStr">
        <is>
          <t>1</t>
        </is>
      </c>
      <c r="M706" s="3" t="n">
        <v>0.925</v>
      </c>
      <c r="N706" t="inlineStr">
        <is>
          <t>긍정</t>
        </is>
      </c>
    </row>
    <row r="707">
      <c r="A707" s="1" t="inlineStr">
        <is>
          <t>2021-05-20</t>
        </is>
      </c>
      <c r="B707" t="inlineStr">
        <is>
          <t>news</t>
        </is>
      </c>
      <c r="C707" t="inlineStr">
        <is>
          <t>economy</t>
        </is>
      </c>
      <c r="D707" t="inlineStr">
        <is>
          <t>헤럴드경제</t>
        </is>
      </c>
      <c r="E707" t="inlineStr">
        <is>
          <t>김현일</t>
        </is>
      </c>
      <c r="F707" t="inlineStr">
        <is>
          <t>SK-포드 손잡고 美에 6조 투자한다…“60만대분 배터리 생산”</t>
        </is>
      </c>
      <c r="G707" s="2">
        <f>HYPERLINK("http://news.heraldcorp.com/view.php?ud=20210520000967", "Go to Website")</f>
        <v/>
      </c>
      <c r="H707" t="inlineStr"/>
      <c r="I707" t="inlineStr">
        <is>
          <t>K64</t>
        </is>
      </c>
      <c r="J707" s="3" t="n">
        <v>0.996</v>
      </c>
      <c r="K707" t="inlineStr">
        <is>
          <t>금융업</t>
        </is>
      </c>
      <c r="L707" t="inlineStr">
        <is>
          <t>1</t>
        </is>
      </c>
      <c r="M707" s="3" t="n">
        <v>0.8110000000000001</v>
      </c>
      <c r="N707" t="inlineStr">
        <is>
          <t>긍정</t>
        </is>
      </c>
    </row>
    <row r="708">
      <c r="A708" s="1" t="inlineStr">
        <is>
          <t>2021-05-20</t>
        </is>
      </c>
      <c r="B708" t="inlineStr">
        <is>
          <t>news</t>
        </is>
      </c>
      <c r="C708" t="inlineStr">
        <is>
          <t>economy</t>
        </is>
      </c>
      <c r="D708" t="inlineStr">
        <is>
          <t>조선비즈</t>
        </is>
      </c>
      <c r="E708" t="inlineStr">
        <is>
          <t>허지윤</t>
        </is>
      </c>
      <c r="F708" t="inlineStr">
        <is>
          <t>SK이노베이션, 미국서 포드와 합작해 배터리 사업 확대</t>
        </is>
      </c>
      <c r="G708" s="2">
        <f>HYPERLINK("https://biz.chosun.com/industry/company/2021/05/20/XSKRO2CWK5B2LBJ3T4T3RHPA5A/?utm_medium=original&amp;utm_campaign=biz", "Go to Website")</f>
        <v/>
      </c>
      <c r="H708" t="inlineStr"/>
      <c r="I708" t="inlineStr">
        <is>
          <t>K64</t>
        </is>
      </c>
      <c r="J708" s="3" t="n">
        <v>0.999</v>
      </c>
      <c r="K708" t="inlineStr">
        <is>
          <t>금융업</t>
        </is>
      </c>
      <c r="L708" t="inlineStr">
        <is>
          <t>1</t>
        </is>
      </c>
      <c r="M708" s="3" t="n">
        <v>0.825</v>
      </c>
      <c r="N708" t="inlineStr">
        <is>
          <t>긍정</t>
        </is>
      </c>
    </row>
    <row r="709">
      <c r="A709" s="1" t="inlineStr">
        <is>
          <t>2021-05-20</t>
        </is>
      </c>
      <c r="B709" t="inlineStr">
        <is>
          <t>news</t>
        </is>
      </c>
      <c r="C709" t="inlineStr">
        <is>
          <t>economy</t>
        </is>
      </c>
      <c r="D709" t="inlineStr">
        <is>
          <t>연합뉴스</t>
        </is>
      </c>
      <c r="E709" t="inlineStr">
        <is>
          <t>서미숙</t>
        </is>
      </c>
      <c r="F709" t="inlineStr">
        <is>
          <t>SK, 미국 배터리 영토 확장…포드와 6조원대 합작사 설립(종합)</t>
        </is>
      </c>
      <c r="G709" s="2">
        <f>HYPERLINK("http://yna.kr/AKR20210520171051003?did=1195m", "Go to Website")</f>
        <v/>
      </c>
      <c r="H709" t="inlineStr"/>
      <c r="I709" t="inlineStr">
        <is>
          <t>K64</t>
        </is>
      </c>
      <c r="J709" s="3" t="n">
        <v>0.99</v>
      </c>
      <c r="K709" t="inlineStr">
        <is>
          <t>금융업</t>
        </is>
      </c>
      <c r="L709" t="inlineStr">
        <is>
          <t>1</t>
        </is>
      </c>
      <c r="M709" s="3" t="n">
        <v>0.997</v>
      </c>
      <c r="N709" t="inlineStr">
        <is>
          <t>긍정</t>
        </is>
      </c>
    </row>
    <row r="710">
      <c r="A710" s="1" t="inlineStr">
        <is>
          <t>2021-05-20</t>
        </is>
      </c>
      <c r="B710" t="inlineStr">
        <is>
          <t>news</t>
        </is>
      </c>
      <c r="C710" t="inlineStr">
        <is>
          <t>economy</t>
        </is>
      </c>
      <c r="D710" t="inlineStr">
        <is>
          <t>스포츠조선</t>
        </is>
      </c>
      <c r="E710" t="inlineStr">
        <is>
          <t>이정혁</t>
        </is>
      </c>
      <c r="F710" t="inlineStr">
        <is>
          <t>아우디, 순수 전기차 'e-트론 GT'·'RS e-트론 GT' 국내 프리뷰 공개</t>
        </is>
      </c>
      <c r="G710" s="2">
        <f>HYPERLINK("http://sports.chosun.com/news/ntype.htm?id=202105210100160410010454&amp;servicedate=20210520", "Go to Website")</f>
        <v/>
      </c>
      <c r="H710" t="inlineStr"/>
      <c r="I710" t="inlineStr">
        <is>
          <t>100</t>
        </is>
      </c>
      <c r="J710" s="3" t="n">
        <v>0.963</v>
      </c>
      <c r="K710" t="inlineStr">
        <is>
          <t>분류 제외, 기타</t>
        </is>
      </c>
      <c r="L710" t="inlineStr">
        <is>
          <t>1</t>
        </is>
      </c>
      <c r="M710" s="3" t="n">
        <v>0.991</v>
      </c>
      <c r="N710" t="inlineStr">
        <is>
          <t>긍정</t>
        </is>
      </c>
    </row>
    <row r="711">
      <c r="A711" s="1" t="inlineStr">
        <is>
          <t>2021-05-20</t>
        </is>
      </c>
      <c r="B711" t="inlineStr">
        <is>
          <t>news</t>
        </is>
      </c>
      <c r="C711" t="inlineStr">
        <is>
          <t>economy</t>
        </is>
      </c>
      <c r="D711" t="inlineStr">
        <is>
          <t>TV조선</t>
        </is>
      </c>
      <c r="E711" t="inlineStr">
        <is>
          <t>이상배</t>
        </is>
      </c>
      <c r="F711" t="inlineStr">
        <is>
          <t>SK이노, 포드와 MOU체결…배터리 경쟁 더 치열해진다</t>
        </is>
      </c>
      <c r="G711" s="2">
        <f>HYPERLINK("http://news.tvchosun.com/site/data/html_dir/2021/05/20/2021052090157.html", "Go to Website")</f>
        <v/>
      </c>
      <c r="H711" t="inlineStr"/>
      <c r="I711" t="inlineStr">
        <is>
          <t>K64</t>
        </is>
      </c>
      <c r="J711" s="3" t="n">
        <v>0.984</v>
      </c>
      <c r="K711" t="inlineStr">
        <is>
          <t>금융업</t>
        </is>
      </c>
      <c r="L711" t="inlineStr">
        <is>
          <t>1</t>
        </is>
      </c>
      <c r="M711" s="3" t="n">
        <v>0.988</v>
      </c>
      <c r="N711" t="inlineStr">
        <is>
          <t>긍정</t>
        </is>
      </c>
    </row>
    <row r="712">
      <c r="A712" s="1" t="inlineStr">
        <is>
          <t>2021-05-20</t>
        </is>
      </c>
      <c r="B712" t="inlineStr">
        <is>
          <t>news</t>
        </is>
      </c>
      <c r="C712" t="inlineStr">
        <is>
          <t>economy</t>
        </is>
      </c>
      <c r="D712" t="inlineStr">
        <is>
          <t>머니투데이</t>
        </is>
      </c>
      <c r="E712" t="inlineStr">
        <is>
          <t>최민경</t>
        </is>
      </c>
      <c r="F712" t="inlineStr">
        <is>
          <t>SK이노,  美 포드와 배터리 합작사 만든다…'6조원 투자'</t>
        </is>
      </c>
      <c r="G712" s="2">
        <f>HYPERLINK("http://news.mt.co.kr/mtview.php?no=2021052022075516841", "Go to Website")</f>
        <v/>
      </c>
      <c r="H712" t="inlineStr"/>
      <c r="I712" t="inlineStr">
        <is>
          <t>K64</t>
        </is>
      </c>
      <c r="J712" s="3" t="n">
        <v>0.973</v>
      </c>
      <c r="K712" t="inlineStr">
        <is>
          <t>금융업</t>
        </is>
      </c>
      <c r="L712" t="inlineStr"/>
      <c r="M712" t="inlineStr"/>
      <c r="N712" t="inlineStr"/>
    </row>
    <row r="713">
      <c r="A713" s="1" t="inlineStr">
        <is>
          <t>2021-05-20</t>
        </is>
      </c>
      <c r="B713" t="inlineStr">
        <is>
          <t>news</t>
        </is>
      </c>
      <c r="C713" t="inlineStr">
        <is>
          <t>economy</t>
        </is>
      </c>
      <c r="D713" t="inlineStr">
        <is>
          <t>디지털타임스</t>
        </is>
      </c>
      <c r="E713" t="inlineStr">
        <is>
          <t>김위수</t>
        </is>
      </c>
      <c r="F713" t="inlineStr">
        <is>
          <t>SK이노·포드, 전기차 배터리 합작사 설립…6조원 투자</t>
        </is>
      </c>
      <c r="G713" s="2">
        <f>HYPERLINK("http://www.dt.co.kr/contents.html?article_no=2021052002109932033008", "Go to Website")</f>
        <v/>
      </c>
      <c r="H713" t="inlineStr"/>
      <c r="I713" t="inlineStr">
        <is>
          <t>K64</t>
        </is>
      </c>
      <c r="J713" s="3" t="n">
        <v>0.996</v>
      </c>
      <c r="K713" t="inlineStr">
        <is>
          <t>금융업</t>
        </is>
      </c>
      <c r="L713" t="inlineStr"/>
      <c r="M713" t="inlineStr"/>
      <c r="N713" t="inlineStr"/>
    </row>
    <row r="714">
      <c r="A714" s="1" t="inlineStr">
        <is>
          <t>2021-05-20</t>
        </is>
      </c>
      <c r="B714" t="inlineStr">
        <is>
          <t>news</t>
        </is>
      </c>
      <c r="C714" t="inlineStr">
        <is>
          <t>economy</t>
        </is>
      </c>
      <c r="D714" t="inlineStr">
        <is>
          <t>서울경제</t>
        </is>
      </c>
      <c r="E714" t="inlineStr">
        <is>
          <t>한재영</t>
        </is>
      </c>
      <c r="F714" t="inlineStr">
        <is>
          <t>SK, 포드와 6조 투자해 美 배터리공장 설립</t>
        </is>
      </c>
      <c r="G714" s="2">
        <f>HYPERLINK("https://www.sedaily.com/NewsView/22MFP0NTS9", "Go to Website")</f>
        <v/>
      </c>
      <c r="H714" t="inlineStr"/>
      <c r="I714" t="inlineStr">
        <is>
          <t>K64</t>
        </is>
      </c>
      <c r="J714" s="3" t="n">
        <v>0.795</v>
      </c>
      <c r="K714" t="inlineStr">
        <is>
          <t>금융업</t>
        </is>
      </c>
      <c r="L714" t="inlineStr">
        <is>
          <t>1</t>
        </is>
      </c>
      <c r="M714" s="3" t="n">
        <v>0.986</v>
      </c>
      <c r="N714" t="inlineStr">
        <is>
          <t>긍정</t>
        </is>
      </c>
    </row>
    <row r="715">
      <c r="A715" s="1" t="inlineStr">
        <is>
          <t>2021-05-20</t>
        </is>
      </c>
      <c r="B715" t="inlineStr">
        <is>
          <t>news</t>
        </is>
      </c>
      <c r="C715" t="inlineStr">
        <is>
          <t>economy</t>
        </is>
      </c>
      <c r="D715" t="inlineStr">
        <is>
          <t>한겨레</t>
        </is>
      </c>
      <c r="E715" t="inlineStr">
        <is>
          <t>박종오</t>
        </is>
      </c>
      <c r="F715" t="inlineStr">
        <is>
          <t>SK이노베이션·포드, 미 배터리 공장 설립에 6조 투자</t>
        </is>
      </c>
      <c r="G715" s="2">
        <f>HYPERLINK("http://www.hani.co.kr/arti/economy/marketing/996054.html", "Go to Website")</f>
        <v/>
      </c>
      <c r="H715" t="inlineStr"/>
      <c r="I715" t="inlineStr">
        <is>
          <t>K64</t>
        </is>
      </c>
      <c r="J715" s="3" t="n">
        <v>0.998</v>
      </c>
      <c r="K715" t="inlineStr">
        <is>
          <t>금융업</t>
        </is>
      </c>
      <c r="L715" t="inlineStr">
        <is>
          <t>1</t>
        </is>
      </c>
      <c r="M715" s="3" t="n">
        <v>0.965</v>
      </c>
      <c r="N715" t="inlineStr">
        <is>
          <t>긍정</t>
        </is>
      </c>
    </row>
    <row r="716">
      <c r="A716" s="1" t="inlineStr">
        <is>
          <t>2021-05-20</t>
        </is>
      </c>
      <c r="B716" t="inlineStr">
        <is>
          <t>news</t>
        </is>
      </c>
      <c r="C716" t="inlineStr">
        <is>
          <t>economy</t>
        </is>
      </c>
      <c r="D716" t="inlineStr">
        <is>
          <t>경향신문</t>
        </is>
      </c>
      <c r="E716" t="inlineStr">
        <is>
          <t>정환보</t>
        </is>
      </c>
      <c r="F716" t="inlineStr">
        <is>
          <t>SK이노·포드 ‘전기차 배터리’ 합작 생산</t>
        </is>
      </c>
      <c r="G716" s="2">
        <f>HYPERLINK("http://news.khan.co.kr/kh_news/khan_art_view.html?artid=202105202205005&amp;code=920501", "Go to Website")</f>
        <v/>
      </c>
      <c r="H716" t="inlineStr"/>
      <c r="I716" t="inlineStr">
        <is>
          <t>K64</t>
        </is>
      </c>
      <c r="J716" s="3" t="n">
        <v>0.668</v>
      </c>
      <c r="K716" t="inlineStr">
        <is>
          <t>금융업</t>
        </is>
      </c>
      <c r="L716" t="inlineStr"/>
      <c r="M716" t="inlineStr"/>
      <c r="N716" t="inlineStr"/>
    </row>
    <row r="717">
      <c r="A717" s="1" t="inlineStr">
        <is>
          <t>2021-05-20</t>
        </is>
      </c>
      <c r="B717" t="inlineStr">
        <is>
          <t>news</t>
        </is>
      </c>
      <c r="C717" t="inlineStr">
        <is>
          <t>economy</t>
        </is>
      </c>
      <c r="D717" t="inlineStr">
        <is>
          <t>국민일보</t>
        </is>
      </c>
      <c r="E717" t="inlineStr"/>
      <c r="F717" t="inlineStr">
        <is>
          <t>[포토] 아우디가 만든 럭셔리 전기차</t>
        </is>
      </c>
      <c r="G717" s="2">
        <f>HYPERLINK("http://news.kmib.co.kr/article/view.asp?arcid=0924192710&amp;code=11151700", "Go to Website")</f>
        <v/>
      </c>
      <c r="H717" t="inlineStr"/>
      <c r="I717" t="inlineStr">
        <is>
          <t>100</t>
        </is>
      </c>
      <c r="J717" s="3" t="n">
        <v>0.998</v>
      </c>
      <c r="K717" t="inlineStr">
        <is>
          <t>분류 제외, 기타</t>
        </is>
      </c>
      <c r="L717" t="inlineStr"/>
      <c r="M717" t="inlineStr"/>
      <c r="N717" t="inlineStr"/>
    </row>
    <row r="718">
      <c r="A718" s="1" t="inlineStr">
        <is>
          <t>2021-05-20</t>
        </is>
      </c>
      <c r="B718" t="inlineStr">
        <is>
          <t>news</t>
        </is>
      </c>
      <c r="C718" t="inlineStr">
        <is>
          <t>economy</t>
        </is>
      </c>
      <c r="D718" t="inlineStr">
        <is>
          <t>아시아경제</t>
        </is>
      </c>
      <c r="E718" t="inlineStr">
        <is>
          <t>황윤주</t>
        </is>
      </c>
      <c r="F718" t="inlineStr">
        <is>
          <t>SK이노-포드, 6조 투자해 배터리 JV '블루오벌에스케이' 만든다</t>
        </is>
      </c>
      <c r="G718" s="2">
        <f>HYPERLINK("https://view.asiae.co.kr/article/2021052022064165637", "Go to Website")</f>
        <v/>
      </c>
      <c r="H718" t="inlineStr"/>
      <c r="I718" t="inlineStr">
        <is>
          <t>K64</t>
        </is>
      </c>
      <c r="J718" s="3" t="n">
        <v>0.834</v>
      </c>
      <c r="K718" t="inlineStr">
        <is>
          <t>금융업</t>
        </is>
      </c>
      <c r="L718" t="inlineStr"/>
      <c r="M718" t="inlineStr"/>
      <c r="N718" t="inlineStr"/>
    </row>
    <row r="719">
      <c r="A719" s="1" t="inlineStr">
        <is>
          <t>2021-05-20</t>
        </is>
      </c>
      <c r="B719" t="inlineStr">
        <is>
          <t>news</t>
        </is>
      </c>
      <c r="C719" t="inlineStr">
        <is>
          <t>economy</t>
        </is>
      </c>
      <c r="D719" t="inlineStr">
        <is>
          <t>연합뉴스</t>
        </is>
      </c>
      <c r="E719" t="inlineStr">
        <is>
          <t>서미숙</t>
        </is>
      </c>
      <c r="F719" t="inlineStr">
        <is>
          <t>SK이노베이션, 포드와 미국서 6조원대 배터리 합작사 설립</t>
        </is>
      </c>
      <c r="G719" s="2">
        <f>HYPERLINK("http://yna.kr/AKR20210520171000003?did=1195m", "Go to Website")</f>
        <v/>
      </c>
      <c r="H719" t="inlineStr"/>
      <c r="I719" t="inlineStr">
        <is>
          <t>K64</t>
        </is>
      </c>
      <c r="J719" s="3" t="n">
        <v>0.983</v>
      </c>
      <c r="K719" t="inlineStr">
        <is>
          <t>금융업</t>
        </is>
      </c>
      <c r="L719" t="inlineStr">
        <is>
          <t>1</t>
        </is>
      </c>
      <c r="M719" s="3" t="n">
        <v>0.995</v>
      </c>
      <c r="N719" t="inlineStr">
        <is>
          <t>긍정</t>
        </is>
      </c>
    </row>
    <row r="720">
      <c r="A720" s="1" t="inlineStr">
        <is>
          <t>2021-05-20</t>
        </is>
      </c>
      <c r="B720" t="inlineStr">
        <is>
          <t>news</t>
        </is>
      </c>
      <c r="C720" t="inlineStr">
        <is>
          <t>economy</t>
        </is>
      </c>
      <c r="D720" t="inlineStr">
        <is>
          <t>세계일보</t>
        </is>
      </c>
      <c r="E720" t="inlineStr">
        <is>
          <t>조병욱</t>
        </is>
      </c>
      <c r="F720" t="inlineStr">
        <is>
          <t>미국 양대 자동차와 손잡는 국내 배터리 기업들</t>
        </is>
      </c>
      <c r="G720" s="2">
        <f>HYPERLINK("http://www.segye.com/content/html/2021/05/20/20210520514748.html", "Go to Website")</f>
        <v/>
      </c>
      <c r="H720" t="inlineStr"/>
      <c r="I720" t="inlineStr">
        <is>
          <t>C30</t>
        </is>
      </c>
      <c r="J720" s="3" t="n">
        <v>0.896</v>
      </c>
      <c r="K720" t="inlineStr">
        <is>
          <t>자동차 및 트레일러 제조업</t>
        </is>
      </c>
      <c r="L720" t="inlineStr">
        <is>
          <t>0</t>
        </is>
      </c>
      <c r="M720" s="3" t="n">
        <v>0.852</v>
      </c>
      <c r="N720" t="inlineStr">
        <is>
          <t>중립</t>
        </is>
      </c>
    </row>
    <row r="721">
      <c r="A721" s="1" t="inlineStr">
        <is>
          <t>2021-05-20</t>
        </is>
      </c>
      <c r="B721" t="inlineStr">
        <is>
          <t>news</t>
        </is>
      </c>
      <c r="C721" t="inlineStr">
        <is>
          <t>economy</t>
        </is>
      </c>
      <c r="D721" t="inlineStr">
        <is>
          <t>뉴스1</t>
        </is>
      </c>
      <c r="E721" t="inlineStr">
        <is>
          <t>구교운</t>
        </is>
      </c>
      <c r="F721" t="inlineStr">
        <is>
          <t>SK이노, 포드와 합작법인 설립해 美배터리 사업 확대</t>
        </is>
      </c>
      <c r="G721" s="2">
        <f>HYPERLINK("https://www.news1.kr/articles/?4312985", "Go to Website")</f>
        <v/>
      </c>
      <c r="H721" t="inlineStr"/>
      <c r="I721" t="inlineStr">
        <is>
          <t>K64</t>
        </is>
      </c>
      <c r="J721" s="3" t="n">
        <v>0.977</v>
      </c>
      <c r="K721" t="inlineStr">
        <is>
          <t>금융업</t>
        </is>
      </c>
      <c r="L721" t="inlineStr"/>
      <c r="M721" t="inlineStr"/>
      <c r="N721" t="inlineStr"/>
    </row>
    <row r="722">
      <c r="A722" s="1" t="inlineStr">
        <is>
          <t>2021-05-20</t>
        </is>
      </c>
      <c r="B722" t="inlineStr">
        <is>
          <t>news</t>
        </is>
      </c>
      <c r="C722" t="inlineStr">
        <is>
          <t>economy</t>
        </is>
      </c>
      <c r="D722" t="inlineStr">
        <is>
          <t>YTN</t>
        </is>
      </c>
      <c r="E722" t="inlineStr"/>
      <c r="F722" t="inlineStr">
        <is>
          <t>SK이노베이션-美 포드 배터리 생산 합작법인 '블루오벌에스케이' 설립</t>
        </is>
      </c>
      <c r="G722" s="2">
        <f>HYPERLINK("https://www.ytn.co.kr/_ln/0102_202105202202432725", "Go to Website")</f>
        <v/>
      </c>
      <c r="H722" t="inlineStr"/>
      <c r="I722" t="inlineStr">
        <is>
          <t>K64</t>
        </is>
      </c>
      <c r="J722" s="3" t="n">
        <v>1</v>
      </c>
      <c r="K722" t="inlineStr">
        <is>
          <t>금융업</t>
        </is>
      </c>
      <c r="L722" t="inlineStr">
        <is>
          <t>1</t>
        </is>
      </c>
      <c r="M722" s="3" t="n">
        <v>0.9409999999999999</v>
      </c>
      <c r="N722" t="inlineStr">
        <is>
          <t>긍정</t>
        </is>
      </c>
    </row>
    <row r="723">
      <c r="A723" s="1" t="inlineStr">
        <is>
          <t>2021-05-20</t>
        </is>
      </c>
      <c r="B723" t="inlineStr">
        <is>
          <t>news</t>
        </is>
      </c>
      <c r="C723" t="inlineStr">
        <is>
          <t>economy</t>
        </is>
      </c>
      <c r="D723" t="inlineStr">
        <is>
          <t>중앙일보</t>
        </is>
      </c>
      <c r="E723" t="inlineStr">
        <is>
          <t>김영민</t>
        </is>
      </c>
      <c r="F723" t="inlineStr">
        <is>
          <t>SK-포드, LG·GM 맞서 '배터리 동맹' 결성하고 6조 투자 결정</t>
        </is>
      </c>
      <c r="G723" s="2">
        <f>HYPERLINK("https://news.joins.com/article/olink/23657490", "Go to Website")</f>
        <v/>
      </c>
      <c r="H723" t="inlineStr"/>
      <c r="I723" t="inlineStr">
        <is>
          <t>K64</t>
        </is>
      </c>
      <c r="J723" s="3" t="n">
        <v>0.977</v>
      </c>
      <c r="K723" t="inlineStr">
        <is>
          <t>금융업</t>
        </is>
      </c>
      <c r="L723" t="inlineStr">
        <is>
          <t>1</t>
        </is>
      </c>
      <c r="M723" s="3" t="n">
        <v>0.907</v>
      </c>
      <c r="N723" t="inlineStr">
        <is>
          <t>긍정</t>
        </is>
      </c>
    </row>
    <row r="724">
      <c r="A724" s="1" t="inlineStr">
        <is>
          <t>2021-05-20</t>
        </is>
      </c>
      <c r="B724" t="inlineStr">
        <is>
          <t>news</t>
        </is>
      </c>
      <c r="C724" t="inlineStr">
        <is>
          <t>economy</t>
        </is>
      </c>
      <c r="D724" t="inlineStr">
        <is>
          <t>이데일리</t>
        </is>
      </c>
      <c r="E724" t="inlineStr">
        <is>
          <t>김영수</t>
        </is>
      </c>
      <c r="F724" t="inlineStr">
        <is>
          <t>SK이노베이션-포드, 합작법인 설립..美 배터리 사업 가속</t>
        </is>
      </c>
      <c r="G724" s="2">
        <f>HYPERLINK("http://www.edaily.co.kr/news/newspath.asp?newsid=03831046629050888", "Go to Website")</f>
        <v/>
      </c>
      <c r="H724" t="inlineStr"/>
      <c r="I724" t="inlineStr">
        <is>
          <t>K64</t>
        </is>
      </c>
      <c r="J724" s="3" t="n">
        <v>0.991</v>
      </c>
      <c r="K724" t="inlineStr">
        <is>
          <t>금융업</t>
        </is>
      </c>
      <c r="L724" t="inlineStr">
        <is>
          <t>1</t>
        </is>
      </c>
      <c r="M724" s="3" t="n">
        <v>0.794</v>
      </c>
      <c r="N724" t="inlineStr">
        <is>
          <t>긍정</t>
        </is>
      </c>
    </row>
    <row r="725">
      <c r="A725" s="1" t="inlineStr">
        <is>
          <t>2021-05-20</t>
        </is>
      </c>
      <c r="B725" t="inlineStr">
        <is>
          <t>news</t>
        </is>
      </c>
      <c r="C725" t="inlineStr">
        <is>
          <t>economy</t>
        </is>
      </c>
      <c r="D725" t="inlineStr">
        <is>
          <t>파이낸셜뉴스</t>
        </is>
      </c>
      <c r="E725" t="inlineStr">
        <is>
          <t>안태호</t>
        </is>
      </c>
      <c r="F725" t="inlineStr">
        <is>
          <t>SK이노-포드, 車배터리 합작법인 설립..총 6조원 투자</t>
        </is>
      </c>
      <c r="G725" s="2">
        <f>HYPERLINK("http://www.fnnews.com/news/202105202148248961", "Go to Website")</f>
        <v/>
      </c>
      <c r="H725" t="inlineStr"/>
      <c r="I725" t="inlineStr">
        <is>
          <t>K64</t>
        </is>
      </c>
      <c r="J725" s="3" t="n">
        <v>0.843</v>
      </c>
      <c r="K725" t="inlineStr">
        <is>
          <t>금융업</t>
        </is>
      </c>
      <c r="L725" t="inlineStr"/>
      <c r="M725" t="inlineStr"/>
      <c r="N725" t="inlineStr"/>
    </row>
    <row r="726">
      <c r="A726" s="1" t="inlineStr">
        <is>
          <t>2021-05-20</t>
        </is>
      </c>
      <c r="B726" t="inlineStr">
        <is>
          <t>news</t>
        </is>
      </c>
      <c r="C726" t="inlineStr">
        <is>
          <t>economy</t>
        </is>
      </c>
      <c r="D726" t="inlineStr">
        <is>
          <t>서울신문</t>
        </is>
      </c>
      <c r="E726" t="inlineStr">
        <is>
          <t>이영준</t>
        </is>
      </c>
      <c r="F726" t="inlineStr">
        <is>
          <t>한-미 배터리 동맹 성사… SK-포드 ‘블루오벌SK’ 설립</t>
        </is>
      </c>
      <c r="G726" s="2">
        <f>HYPERLINK("https://www.seoul.co.kr/news/newsView.php?id=20210520500147", "Go to Website")</f>
        <v/>
      </c>
      <c r="H726" t="inlineStr"/>
      <c r="I726" t="inlineStr">
        <is>
          <t>K64</t>
        </is>
      </c>
      <c r="J726" s="3" t="n">
        <v>0.991</v>
      </c>
      <c r="K726" t="inlineStr">
        <is>
          <t>금융업</t>
        </is>
      </c>
      <c r="L726" t="inlineStr">
        <is>
          <t>1</t>
        </is>
      </c>
      <c r="M726" s="3" t="n">
        <v>0.839</v>
      </c>
      <c r="N726" t="inlineStr">
        <is>
          <t>긍정</t>
        </is>
      </c>
    </row>
    <row r="727">
      <c r="A727" s="1" t="inlineStr">
        <is>
          <t>2021-05-20</t>
        </is>
      </c>
      <c r="B727" t="inlineStr">
        <is>
          <t>news</t>
        </is>
      </c>
      <c r="C727" t="inlineStr">
        <is>
          <t>economy</t>
        </is>
      </c>
      <c r="D727" t="inlineStr">
        <is>
          <t>데일리안</t>
        </is>
      </c>
      <c r="E727" t="inlineStr">
        <is>
          <t>조인영</t>
        </is>
      </c>
      <c r="F727" t="inlineStr">
        <is>
          <t>SK이노-포드, 배터리 합작법인 설립한다…총 6조 투자</t>
        </is>
      </c>
      <c r="G727" s="2">
        <f>HYPERLINK("https://www.dailian.co.kr/news/view/993254/", "Go to Website")</f>
        <v/>
      </c>
      <c r="H727" t="inlineStr"/>
      <c r="I727" t="inlineStr">
        <is>
          <t>K64</t>
        </is>
      </c>
      <c r="J727" s="3" t="n">
        <v>0.84</v>
      </c>
      <c r="K727" t="inlineStr">
        <is>
          <t>금융업</t>
        </is>
      </c>
      <c r="L727" t="inlineStr"/>
      <c r="M727" t="inlineStr"/>
      <c r="N727" t="inlineStr"/>
    </row>
    <row r="728">
      <c r="A728" s="1" t="inlineStr">
        <is>
          <t>2021-05-20</t>
        </is>
      </c>
      <c r="B728" t="inlineStr">
        <is>
          <t>news</t>
        </is>
      </c>
      <c r="C728" t="inlineStr">
        <is>
          <t>economy</t>
        </is>
      </c>
      <c r="D728" t="inlineStr">
        <is>
          <t>뉴시스</t>
        </is>
      </c>
      <c r="E728" t="inlineStr">
        <is>
          <t>정윤아</t>
        </is>
      </c>
      <c r="F728" t="inlineStr">
        <is>
          <t>SK이노, 美포드와 6조원 합작법인 설립…연간 전기트럭 60만대 분 생산</t>
        </is>
      </c>
      <c r="G728" s="2">
        <f>HYPERLINK("http://www.newsis.com/view/?id=NISX20210520_0001448029&amp;cID=13001&amp;pID=13000", "Go to Website")</f>
        <v/>
      </c>
      <c r="H728" t="inlineStr"/>
      <c r="I728" t="inlineStr">
        <is>
          <t>K64</t>
        </is>
      </c>
      <c r="J728" s="3" t="n">
        <v>0.985</v>
      </c>
      <c r="K728" t="inlineStr">
        <is>
          <t>금융업</t>
        </is>
      </c>
      <c r="L728" t="inlineStr"/>
      <c r="M728" t="inlineStr"/>
      <c r="N728" t="inlineStr"/>
    </row>
    <row r="729">
      <c r="A729" s="1" t="inlineStr">
        <is>
          <t>2021-05-20</t>
        </is>
      </c>
      <c r="B729" t="inlineStr">
        <is>
          <t>news</t>
        </is>
      </c>
      <c r="C729" t="inlineStr">
        <is>
          <t>economy</t>
        </is>
      </c>
      <c r="D729" t="inlineStr">
        <is>
          <t>TV조선</t>
        </is>
      </c>
      <c r="E729" t="inlineStr">
        <is>
          <t>이상배</t>
        </is>
      </c>
      <c r="F729" t="inlineStr">
        <is>
          <t>정상회담 앞두고 '韓美 배터리 합작기업' 나오나</t>
        </is>
      </c>
      <c r="G729" s="2">
        <f>HYPERLINK("http://news.tvchosun.com/site/data/html_dir/2021/05/20/2021052090136.html", "Go to Website")</f>
        <v/>
      </c>
      <c r="H729" t="inlineStr"/>
      <c r="I729" t="inlineStr">
        <is>
          <t>K64</t>
        </is>
      </c>
      <c r="J729" s="3" t="n">
        <v>0.982</v>
      </c>
      <c r="K729" t="inlineStr">
        <is>
          <t>금융업</t>
        </is>
      </c>
      <c r="L729" t="inlineStr"/>
      <c r="M729" t="inlineStr"/>
      <c r="N729" t="inlineStr"/>
    </row>
    <row r="730">
      <c r="A730" s="1" t="inlineStr">
        <is>
          <t>2021-05-20</t>
        </is>
      </c>
      <c r="B730" t="inlineStr">
        <is>
          <t>news</t>
        </is>
      </c>
      <c r="C730" t="inlineStr">
        <is>
          <t>economy</t>
        </is>
      </c>
      <c r="D730" t="inlineStr">
        <is>
          <t>KBS</t>
        </is>
      </c>
      <c r="E730" t="inlineStr">
        <is>
          <t>김지숙</t>
        </is>
      </c>
      <c r="F730" t="inlineStr">
        <is>
          <t>美에 ‘40조+α’ 공격적 투자…배경은?</t>
        </is>
      </c>
      <c r="G730" s="2">
        <f>HYPERLINK("https://news.kbs.co.kr/news/view.do?ncd=5190418&amp;ref=A", "Go to Website")</f>
        <v/>
      </c>
      <c r="H730" t="inlineStr"/>
      <c r="I730" t="inlineStr">
        <is>
          <t>C26</t>
        </is>
      </c>
      <c r="J730" s="3" t="n">
        <v>0.626</v>
      </c>
      <c r="K730" t="inlineStr">
        <is>
          <t>전자 부품, 컴퓨터, 영상, 음향 및 통신장비 제조업</t>
        </is>
      </c>
      <c r="L730" t="inlineStr"/>
      <c r="M730" t="inlineStr"/>
      <c r="N730" t="inlineStr"/>
    </row>
    <row r="731">
      <c r="A731" s="1" t="inlineStr">
        <is>
          <t>2021-05-20</t>
        </is>
      </c>
      <c r="B731" t="inlineStr">
        <is>
          <t>news</t>
        </is>
      </c>
      <c r="C731" t="inlineStr">
        <is>
          <t>economy</t>
        </is>
      </c>
      <c r="D731" t="inlineStr">
        <is>
          <t>MBN</t>
        </is>
      </c>
      <c r="E731" t="inlineStr">
        <is>
          <t>오지예</t>
        </is>
      </c>
      <c r="F731" t="inlineStr">
        <is>
          <t>정부는 수십 년째 "소부장 육성"…현실은 "테스트할 곳도 없어요"</t>
        </is>
      </c>
      <c r="G731" s="2">
        <f>HYPERLINK("http://www.mbn.co.kr/pages/news/newsView.php?news_seq_no=4507331", "Go to Website")</f>
        <v/>
      </c>
      <c r="H731" t="inlineStr"/>
      <c r="I731" t="inlineStr">
        <is>
          <t>C31</t>
        </is>
      </c>
      <c r="J731" s="3" t="n">
        <v>0.847</v>
      </c>
      <c r="K731" t="inlineStr">
        <is>
          <t>기타 운송장비 제조업</t>
        </is>
      </c>
      <c r="L731" t="inlineStr"/>
      <c r="M731" t="inlineStr"/>
      <c r="N731" t="inlineStr"/>
    </row>
    <row r="732">
      <c r="A732" s="1" t="inlineStr">
        <is>
          <t>2021-05-20</t>
        </is>
      </c>
      <c r="B732" t="inlineStr">
        <is>
          <t>news</t>
        </is>
      </c>
      <c r="C732" t="inlineStr">
        <is>
          <t>economy</t>
        </is>
      </c>
      <c r="D732" t="inlineStr">
        <is>
          <t>뉴시스</t>
        </is>
      </c>
      <c r="E732" t="inlineStr">
        <is>
          <t>이재은</t>
        </is>
      </c>
      <c r="F732" t="inlineStr">
        <is>
          <t>포스코, 호주 이차전지용 니켈 광산회사 지분 30% 인수(종합)</t>
        </is>
      </c>
      <c r="G732" s="2">
        <f>HYPERLINK("http://www.newsis.com/view/?id=NISX20210520_0001447636&amp;cID=13001&amp;pID=13000", "Go to Website")</f>
        <v/>
      </c>
      <c r="H732" t="inlineStr"/>
      <c r="I732" t="inlineStr">
        <is>
          <t>C24</t>
        </is>
      </c>
      <c r="J732" s="3" t="n">
        <v>1</v>
      </c>
      <c r="K732" t="inlineStr">
        <is>
          <t>1차 금속 제조업</t>
        </is>
      </c>
      <c r="L732" t="inlineStr">
        <is>
          <t>0</t>
        </is>
      </c>
      <c r="M732" s="3" t="n">
        <v>0.52</v>
      </c>
      <c r="N732" t="inlineStr">
        <is>
          <t>중립</t>
        </is>
      </c>
    </row>
    <row r="733">
      <c r="A733" s="1" t="inlineStr">
        <is>
          <t>2021-05-20</t>
        </is>
      </c>
      <c r="B733" t="inlineStr">
        <is>
          <t>news</t>
        </is>
      </c>
      <c r="C733" t="inlineStr">
        <is>
          <t>economy</t>
        </is>
      </c>
      <c r="D733" t="inlineStr">
        <is>
          <t>디지털타임스</t>
        </is>
      </c>
      <c r="E733" t="inlineStr">
        <is>
          <t>박정일</t>
        </is>
      </c>
      <c r="F733" t="inlineStr">
        <is>
          <t>美로 집결하는 글로벌 첨단산업</t>
        </is>
      </c>
      <c r="G733" s="2">
        <f>HYPERLINK("http://www.dt.co.kr/contents.html?article_no=2021052102100132781001", "Go to Website")</f>
        <v/>
      </c>
      <c r="H733" t="inlineStr"/>
      <c r="I733" t="inlineStr">
        <is>
          <t>C30</t>
        </is>
      </c>
      <c r="J733" s="3" t="n">
        <v>0.825</v>
      </c>
      <c r="K733" t="inlineStr">
        <is>
          <t>자동차 및 트레일러 제조업</t>
        </is>
      </c>
      <c r="L733" t="inlineStr"/>
      <c r="M733" t="inlineStr"/>
      <c r="N733" t="inlineStr"/>
    </row>
    <row r="734">
      <c r="A734" s="1" t="inlineStr">
        <is>
          <t>2021-05-20</t>
        </is>
      </c>
      <c r="B734" t="inlineStr">
        <is>
          <t>news</t>
        </is>
      </c>
      <c r="C734" t="inlineStr">
        <is>
          <t>economy</t>
        </is>
      </c>
      <c r="D734" t="inlineStr">
        <is>
          <t>디지털타임스</t>
        </is>
      </c>
      <c r="E734" t="inlineStr">
        <is>
          <t>박상길</t>
        </is>
      </c>
      <c r="F734" t="inlineStr">
        <is>
          <t>대기업 인천 서구로 몰려온다</t>
        </is>
      </c>
      <c r="G734" s="2">
        <f>HYPERLINK("http://www.dt.co.kr/contents.html?article_no=2021052002109932036006", "Go to Website")</f>
        <v/>
      </c>
      <c r="H734" t="inlineStr"/>
      <c r="I734" t="inlineStr">
        <is>
          <t>100</t>
        </is>
      </c>
      <c r="J734" s="3" t="n">
        <v>0.702</v>
      </c>
      <c r="K734" t="inlineStr">
        <is>
          <t>분류 제외, 기타</t>
        </is>
      </c>
      <c r="L734" t="inlineStr"/>
      <c r="M734" t="inlineStr"/>
      <c r="N734" t="inlineStr"/>
    </row>
    <row r="735">
      <c r="A735" s="1" t="inlineStr">
        <is>
          <t>2021-05-20</t>
        </is>
      </c>
      <c r="B735" t="inlineStr">
        <is>
          <t>news</t>
        </is>
      </c>
      <c r="C735" t="inlineStr">
        <is>
          <t>economy</t>
        </is>
      </c>
      <c r="D735" t="inlineStr">
        <is>
          <t>뉴시스</t>
        </is>
      </c>
      <c r="E735" t="inlineStr">
        <is>
          <t>정윤아</t>
        </is>
      </c>
      <c r="F735" t="inlineStr">
        <is>
          <t>롯데케미칼, 2100억 들여 전기차 배터리 유기용매 생산시설 투자(종합)</t>
        </is>
      </c>
      <c r="G735" s="2">
        <f>HYPERLINK("http://www.newsis.com/view/?id=NISX20210520_0001447645&amp;cID=13001&amp;pID=13000", "Go to Website")</f>
        <v/>
      </c>
      <c r="H735" t="inlineStr"/>
      <c r="I735" t="inlineStr">
        <is>
          <t>C20</t>
        </is>
      </c>
      <c r="J735" s="3" t="n">
        <v>0.999</v>
      </c>
      <c r="K735" t="inlineStr">
        <is>
          <t>화학 물질 및 화학제품 제조업; 의약품 제외</t>
        </is>
      </c>
      <c r="L735" t="inlineStr">
        <is>
          <t>1</t>
        </is>
      </c>
      <c r="M735" s="3" t="n">
        <v>0.9370000000000001</v>
      </c>
      <c r="N735" t="inlineStr">
        <is>
          <t>긍정</t>
        </is>
      </c>
    </row>
    <row r="736">
      <c r="A736" s="1" t="inlineStr">
        <is>
          <t>2021-05-20</t>
        </is>
      </c>
      <c r="B736" t="inlineStr">
        <is>
          <t>news</t>
        </is>
      </c>
      <c r="C736" t="inlineStr">
        <is>
          <t>economy</t>
        </is>
      </c>
      <c r="D736" t="inlineStr">
        <is>
          <t>부산일보</t>
        </is>
      </c>
      <c r="E736" t="inlineStr"/>
      <c r="F736" t="inlineStr">
        <is>
          <t>[포토뉴스] 아우디 ‘e-트론 GT’ ‘RS e-트론 GT’</t>
        </is>
      </c>
      <c r="G736" s="2">
        <f>HYPERLINK("http://www.busan.com/view/busan/view.php?code=2021052019125195225", "Go to Website")</f>
        <v/>
      </c>
      <c r="H736" t="inlineStr"/>
      <c r="I736" t="inlineStr">
        <is>
          <t>100</t>
        </is>
      </c>
      <c r="J736" s="3" t="n">
        <v>1</v>
      </c>
      <c r="K736" t="inlineStr">
        <is>
          <t>분류 제외, 기타</t>
        </is>
      </c>
      <c r="L736" t="inlineStr"/>
      <c r="M736" t="inlineStr"/>
      <c r="N736" t="inlineStr"/>
    </row>
    <row r="737">
      <c r="A737" s="1" t="inlineStr">
        <is>
          <t>2021-05-20</t>
        </is>
      </c>
      <c r="B737" t="inlineStr">
        <is>
          <t>news</t>
        </is>
      </c>
      <c r="C737" t="inlineStr">
        <is>
          <t>economy</t>
        </is>
      </c>
      <c r="D737" t="inlineStr">
        <is>
          <t>디지털타임스</t>
        </is>
      </c>
      <c r="E737" t="inlineStr">
        <is>
          <t>김위수</t>
        </is>
      </c>
      <c r="F737" t="inlineStr">
        <is>
          <t>배터리 소재·수소 신사업 뛰어든 롯데케미칼</t>
        </is>
      </c>
      <c r="G737" s="2">
        <f>HYPERLINK("http://www.dt.co.kr/contents.html?article_no=2021052102101532033001", "Go to Website")</f>
        <v/>
      </c>
      <c r="H737" t="inlineStr"/>
      <c r="I737" t="inlineStr">
        <is>
          <t>C20</t>
        </is>
      </c>
      <c r="J737" s="3" t="n">
        <v>1</v>
      </c>
      <c r="K737" t="inlineStr">
        <is>
          <t>화학 물질 및 화학제품 제조업; 의약품 제외</t>
        </is>
      </c>
      <c r="L737" t="inlineStr">
        <is>
          <t>1</t>
        </is>
      </c>
      <c r="M737" s="3" t="n">
        <v>0.994</v>
      </c>
      <c r="N737" t="inlineStr">
        <is>
          <t>긍정</t>
        </is>
      </c>
    </row>
    <row r="738">
      <c r="A738" s="1" t="inlineStr">
        <is>
          <t>2021-05-20</t>
        </is>
      </c>
      <c r="B738" t="inlineStr">
        <is>
          <t>news</t>
        </is>
      </c>
      <c r="C738" t="inlineStr">
        <is>
          <t>economy</t>
        </is>
      </c>
      <c r="D738" t="inlineStr">
        <is>
          <t>이데일리</t>
        </is>
      </c>
      <c r="E738" t="inlineStr">
        <is>
          <t>정두리</t>
        </is>
      </c>
      <c r="F738" t="inlineStr">
        <is>
          <t>20일 장 마감 후 주요 종목 뉴스</t>
        </is>
      </c>
      <c r="G738" s="2">
        <f>HYPERLINK("http://www.edaily.co.kr/news/newspath.asp?newsid=03729366629050888", "Go to Website")</f>
        <v/>
      </c>
      <c r="H738" t="inlineStr"/>
      <c r="I738" t="inlineStr">
        <is>
          <t>R90</t>
        </is>
      </c>
      <c r="J738" s="3" t="n">
        <v>0.773</v>
      </c>
      <c r="K738" t="inlineStr">
        <is>
          <t>창작, 예술 및 여가관련 서비스업</t>
        </is>
      </c>
      <c r="L738" t="inlineStr"/>
      <c r="M738" t="inlineStr"/>
      <c r="N738" t="inlineStr"/>
    </row>
    <row r="739">
      <c r="A739" s="1" t="inlineStr">
        <is>
          <t>2021-05-20</t>
        </is>
      </c>
      <c r="B739" t="inlineStr">
        <is>
          <t>news</t>
        </is>
      </c>
      <c r="C739" t="inlineStr">
        <is>
          <t>economy</t>
        </is>
      </c>
      <c r="D739" t="inlineStr">
        <is>
          <t>오마이뉴스</t>
        </is>
      </c>
      <c r="E739" t="inlineStr">
        <is>
          <t>김종철</t>
        </is>
      </c>
      <c r="F739" t="inlineStr">
        <is>
          <t>아우디 전기차 e-트론？GT, 지속가능성을 말하다</t>
        </is>
      </c>
      <c r="G739" s="2">
        <f>HYPERLINK("http://www.ohmynews.com/NWS_Web/View/at_pg.aspx?CNTN_CD=A0002745074&amp;CMPT_CD=P0010&amp;utm_medium=newsearch", "Go to Website")</f>
        <v/>
      </c>
      <c r="H739" t="inlineStr"/>
      <c r="I739" t="inlineStr">
        <is>
          <t>100</t>
        </is>
      </c>
      <c r="J739" s="3" t="n">
        <v>0.997</v>
      </c>
      <c r="K739" t="inlineStr">
        <is>
          <t>분류 제외, 기타</t>
        </is>
      </c>
      <c r="L739" t="inlineStr">
        <is>
          <t>1</t>
        </is>
      </c>
      <c r="M739" s="3" t="n">
        <v>0.505</v>
      </c>
      <c r="N739" t="inlineStr">
        <is>
          <t>긍정</t>
        </is>
      </c>
    </row>
    <row r="740">
      <c r="A740" s="1" t="inlineStr">
        <is>
          <t>2021-05-20</t>
        </is>
      </c>
      <c r="B740" t="inlineStr">
        <is>
          <t>news</t>
        </is>
      </c>
      <c r="C740" t="inlineStr">
        <is>
          <t>economy</t>
        </is>
      </c>
      <c r="D740" t="inlineStr">
        <is>
          <t>파이낸셜뉴스</t>
        </is>
      </c>
      <c r="E740" t="inlineStr">
        <is>
          <t>성초롱</t>
        </is>
      </c>
      <c r="F740" t="inlineStr">
        <is>
          <t>"철근 없어 공사 올스톱… 두달새 6억 손실" 건설자재 수급 불안, 주택공급까지 타격 [철광석대란에 산업계 비상]</t>
        </is>
      </c>
      <c r="G740" s="2">
        <f>HYPERLINK("http://www.fnnews.com/news/202105201837323789", "Go to Website")</f>
        <v/>
      </c>
      <c r="H740" t="inlineStr"/>
      <c r="I740" t="inlineStr">
        <is>
          <t>C24</t>
        </is>
      </c>
      <c r="J740" s="3" t="n">
        <v>0.987</v>
      </c>
      <c r="K740" t="inlineStr">
        <is>
          <t>1차 금속 제조업</t>
        </is>
      </c>
      <c r="L740" t="inlineStr">
        <is>
          <t>0</t>
        </is>
      </c>
      <c r="M740" s="3" t="n">
        <v>0.473</v>
      </c>
      <c r="N740" t="inlineStr">
        <is>
          <t>중립</t>
        </is>
      </c>
    </row>
    <row r="741">
      <c r="A741" s="1" t="inlineStr">
        <is>
          <t>2021-05-20</t>
        </is>
      </c>
      <c r="B741" t="inlineStr">
        <is>
          <t>news</t>
        </is>
      </c>
      <c r="C741" t="inlineStr">
        <is>
          <t>economy</t>
        </is>
      </c>
      <c r="D741" t="inlineStr">
        <is>
          <t>파이낸셜뉴스</t>
        </is>
      </c>
      <c r="E741" t="inlineStr">
        <is>
          <t>안승현</t>
        </is>
      </c>
      <c r="F741" t="inlineStr">
        <is>
          <t>4대 그룹 CEO, 반도체·백신 외교 지원… 최태원 경제단체 대표로 동행</t>
        </is>
      </c>
      <c r="G741" s="2">
        <f>HYPERLINK("http://www.fnnews.com/news/202105201831161275", "Go to Website")</f>
        <v/>
      </c>
      <c r="H741" t="inlineStr"/>
      <c r="I741" t="inlineStr">
        <is>
          <t>Q86</t>
        </is>
      </c>
      <c r="J741" s="3" t="n">
        <v>0.897</v>
      </c>
      <c r="K741" t="inlineStr">
        <is>
          <t>보건업</t>
        </is>
      </c>
      <c r="L741" t="inlineStr"/>
      <c r="M741" t="inlineStr"/>
      <c r="N741" t="inlineStr"/>
    </row>
    <row r="742">
      <c r="A742" s="1" t="inlineStr">
        <is>
          <t>2021-05-20</t>
        </is>
      </c>
      <c r="B742" t="inlineStr">
        <is>
          <t>news</t>
        </is>
      </c>
      <c r="C742" t="inlineStr">
        <is>
          <t>economy</t>
        </is>
      </c>
      <c r="D742" t="inlineStr">
        <is>
          <t>파이낸셜뉴스</t>
        </is>
      </c>
      <c r="E742" t="inlineStr">
        <is>
          <t>박종원</t>
        </is>
      </c>
      <c r="F742" t="inlineStr">
        <is>
          <t>SK 이노베이션 ·포드, 배터리 합작사 세운다… 한·미 배터리 동맹 강화</t>
        </is>
      </c>
      <c r="G742" s="2">
        <f>HYPERLINK("http://www.fnnews.com/news/202105201831199912", "Go to Website")</f>
        <v/>
      </c>
      <c r="H742" t="inlineStr"/>
      <c r="I742" t="inlineStr">
        <is>
          <t>C30</t>
        </is>
      </c>
      <c r="J742" s="3" t="n">
        <v>0.52</v>
      </c>
      <c r="K742" t="inlineStr">
        <is>
          <t>자동차 및 트레일러 제조업</t>
        </is>
      </c>
      <c r="L742" t="inlineStr">
        <is>
          <t>1</t>
        </is>
      </c>
      <c r="M742" s="3" t="n">
        <v>0.912</v>
      </c>
      <c r="N742" t="inlineStr">
        <is>
          <t>긍정</t>
        </is>
      </c>
    </row>
    <row r="743">
      <c r="A743" s="1" t="inlineStr">
        <is>
          <t>2021-05-20</t>
        </is>
      </c>
      <c r="B743" t="inlineStr">
        <is>
          <t>news</t>
        </is>
      </c>
      <c r="C743" t="inlineStr">
        <is>
          <t>economy</t>
        </is>
      </c>
      <c r="D743" t="inlineStr">
        <is>
          <t>SBS Biz</t>
        </is>
      </c>
      <c r="E743" t="inlineStr">
        <is>
          <t>정인아</t>
        </is>
      </c>
      <c r="F743" t="inlineStr">
        <is>
          <t>文 대통령 방미일정 시작…4대 그룹 40조원 '투자 보따리' 관심</t>
        </is>
      </c>
      <c r="G743" s="2">
        <f>HYPERLINK("https://biz.sbs.co.kr/article_hub/20000016199", "Go to Website")</f>
        <v/>
      </c>
      <c r="H743" t="inlineStr"/>
      <c r="I743" t="inlineStr">
        <is>
          <t>C20</t>
        </is>
      </c>
      <c r="J743" s="3" t="n">
        <v>0.87</v>
      </c>
      <c r="K743" t="inlineStr">
        <is>
          <t>화학 물질 및 화학제품 제조업; 의약품 제외</t>
        </is>
      </c>
      <c r="L743" t="inlineStr"/>
      <c r="M743" t="inlineStr"/>
      <c r="N743" t="inlineStr"/>
    </row>
    <row r="744">
      <c r="A744" s="1" t="inlineStr">
        <is>
          <t>2021-05-20</t>
        </is>
      </c>
      <c r="B744" t="inlineStr">
        <is>
          <t>news</t>
        </is>
      </c>
      <c r="C744" t="inlineStr">
        <is>
          <t>economy</t>
        </is>
      </c>
      <c r="D744" t="inlineStr">
        <is>
          <t>SBS Biz</t>
        </is>
      </c>
      <c r="E744" t="inlineStr">
        <is>
          <t>윤성훈</t>
        </is>
      </c>
      <c r="F744" t="inlineStr">
        <is>
          <t>방미 ‘마수걸이’ 투자 발표 임박…SK이노-포드 배터리셀 합작사 추진</t>
        </is>
      </c>
      <c r="G744" s="2">
        <f>HYPERLINK("https://biz.sbs.co.kr/article_hub/20000016198", "Go to Website")</f>
        <v/>
      </c>
      <c r="H744" t="inlineStr"/>
      <c r="I744" t="inlineStr">
        <is>
          <t>C26</t>
        </is>
      </c>
      <c r="J744" s="3" t="n">
        <v>0.366</v>
      </c>
      <c r="K744" t="inlineStr">
        <is>
          <t>전자 부품, 컴퓨터, 영상, 음향 및 통신장비 제조업</t>
        </is>
      </c>
      <c r="L744" t="inlineStr">
        <is>
          <t>1</t>
        </is>
      </c>
      <c r="M744" s="3" t="n">
        <v>0.722</v>
      </c>
      <c r="N744" t="inlineStr">
        <is>
          <t>긍정</t>
        </is>
      </c>
    </row>
    <row r="745">
      <c r="A745" s="1" t="inlineStr">
        <is>
          <t>2021-05-20</t>
        </is>
      </c>
      <c r="B745" t="inlineStr">
        <is>
          <t>news</t>
        </is>
      </c>
      <c r="C745" t="inlineStr">
        <is>
          <t>economy</t>
        </is>
      </c>
      <c r="D745" t="inlineStr">
        <is>
          <t>중앙일보</t>
        </is>
      </c>
      <c r="E745" t="inlineStr">
        <is>
          <t>김영주</t>
        </is>
      </c>
      <c r="F745" t="inlineStr">
        <is>
          <t>[영상] "제네시스 G80, 다양한 커넥티비티 기능 갖춰"</t>
        </is>
      </c>
      <c r="G745" s="2">
        <f>HYPERLINK("https://news.joins.com/article/olink/23657363", "Go to Website")</f>
        <v/>
      </c>
      <c r="H745" t="inlineStr"/>
      <c r="I745" t="inlineStr">
        <is>
          <t>M71</t>
        </is>
      </c>
      <c r="J745" s="3" t="n">
        <v>0.997</v>
      </c>
      <c r="K745" t="inlineStr">
        <is>
          <t>전문 서비스업</t>
        </is>
      </c>
      <c r="L745" t="inlineStr"/>
      <c r="M745" t="inlineStr"/>
      <c r="N745" t="inlineStr"/>
    </row>
    <row r="746">
      <c r="A746" s="1" t="inlineStr">
        <is>
          <t>2021-05-20</t>
        </is>
      </c>
      <c r="B746" t="inlineStr">
        <is>
          <t>news</t>
        </is>
      </c>
      <c r="C746" t="inlineStr">
        <is>
          <t>economy</t>
        </is>
      </c>
      <c r="D746" t="inlineStr">
        <is>
          <t>중앙일보</t>
        </is>
      </c>
      <c r="E746" t="inlineStr">
        <is>
          <t>김영주</t>
        </is>
      </c>
      <c r="F746" t="inlineStr">
        <is>
          <t>[영상] "포르쉐 전기차 타이칸은 '전기차 세계'의 포르쉐"</t>
        </is>
      </c>
      <c r="G746" s="2">
        <f>HYPERLINK("https://news.joins.com/article/olink/23657359", "Go to Website")</f>
        <v/>
      </c>
      <c r="H746" t="inlineStr"/>
      <c r="I746" t="inlineStr">
        <is>
          <t>M71</t>
        </is>
      </c>
      <c r="J746" s="3" t="n">
        <v>0.72</v>
      </c>
      <c r="K746" t="inlineStr">
        <is>
          <t>전문 서비스업</t>
        </is>
      </c>
      <c r="L746" t="inlineStr"/>
      <c r="M746" t="inlineStr"/>
      <c r="N746" t="inlineStr"/>
    </row>
    <row r="747">
      <c r="A747" s="1" t="inlineStr">
        <is>
          <t>2021-05-20</t>
        </is>
      </c>
      <c r="B747" t="inlineStr">
        <is>
          <t>news</t>
        </is>
      </c>
      <c r="C747" t="inlineStr">
        <is>
          <t>economy</t>
        </is>
      </c>
      <c r="D747" t="inlineStr">
        <is>
          <t>뉴시스</t>
        </is>
      </c>
      <c r="E747" t="inlineStr">
        <is>
          <t>정윤아</t>
        </is>
      </c>
      <c r="F747" t="inlineStr">
        <is>
          <t>SK이노, 포드와 미국서 전기차 배터리셀 합작법인 설립(종합)</t>
        </is>
      </c>
      <c r="G747" s="2">
        <f>HYPERLINK("http://www.newsis.com/view/?id=NISX20210520_0001446904&amp;cID=13001&amp;pID=13000", "Go to Website")</f>
        <v/>
      </c>
      <c r="H747" t="inlineStr"/>
      <c r="I747" t="inlineStr">
        <is>
          <t>C30</t>
        </is>
      </c>
      <c r="J747" s="3" t="n">
        <v>0.982</v>
      </c>
      <c r="K747" t="inlineStr">
        <is>
          <t>자동차 및 트레일러 제조업</t>
        </is>
      </c>
      <c r="L747" t="inlineStr"/>
      <c r="M747" t="inlineStr"/>
      <c r="N747" t="inlineStr"/>
    </row>
    <row r="748">
      <c r="A748" s="1" t="inlineStr">
        <is>
          <t>2021-05-20</t>
        </is>
      </c>
      <c r="B748" t="inlineStr">
        <is>
          <t>news</t>
        </is>
      </c>
      <c r="C748" t="inlineStr">
        <is>
          <t>economy</t>
        </is>
      </c>
      <c r="D748" t="inlineStr">
        <is>
          <t>서울경제</t>
        </is>
      </c>
      <c r="E748" t="inlineStr">
        <is>
          <t>한재영</t>
        </is>
      </c>
      <c r="F748" t="inlineStr">
        <is>
          <t>[이슈&amp;워치]  한미 '배터리 동맹' 속도···LG 이어 SK도 합작투자</t>
        </is>
      </c>
      <c r="G748" s="2">
        <f>HYPERLINK("https://www.sedaily.com/NewsView/22MFNF8P2J", "Go to Website")</f>
        <v/>
      </c>
      <c r="H748" t="inlineStr"/>
      <c r="I748" t="inlineStr">
        <is>
          <t>K64</t>
        </is>
      </c>
      <c r="J748" s="3" t="n">
        <v>0.951</v>
      </c>
      <c r="K748" t="inlineStr">
        <is>
          <t>금융업</t>
        </is>
      </c>
      <c r="L748" t="inlineStr"/>
      <c r="M748" t="inlineStr"/>
      <c r="N748" t="inlineStr"/>
    </row>
    <row r="749">
      <c r="A749" s="1" t="inlineStr">
        <is>
          <t>2021-05-20</t>
        </is>
      </c>
      <c r="B749" t="inlineStr">
        <is>
          <t>news</t>
        </is>
      </c>
      <c r="C749" t="inlineStr">
        <is>
          <t>economy</t>
        </is>
      </c>
      <c r="D749" t="inlineStr">
        <is>
          <t>서울경제</t>
        </is>
      </c>
      <c r="E749" t="inlineStr">
        <is>
          <t>전희윤</t>
        </is>
      </c>
      <c r="F749" t="inlineStr">
        <is>
          <t>'SK이노 배터리' 장착하는 포드 픽업트럭</t>
        </is>
      </c>
      <c r="G749" s="2">
        <f>HYPERLINK("https://www.sedaily.com/NewsView/22MFO0J2VW", "Go to Website")</f>
        <v/>
      </c>
      <c r="H749" t="inlineStr"/>
      <c r="I749" t="inlineStr">
        <is>
          <t>J61</t>
        </is>
      </c>
      <c r="J749" s="3" t="n">
        <v>0.581</v>
      </c>
      <c r="K749" t="inlineStr">
        <is>
          <t>우편 및 통신업</t>
        </is>
      </c>
      <c r="L749" t="inlineStr">
        <is>
          <t>1</t>
        </is>
      </c>
      <c r="M749" s="3" t="n">
        <v>0.796</v>
      </c>
      <c r="N749" t="inlineStr">
        <is>
          <t>긍정</t>
        </is>
      </c>
    </row>
    <row r="750">
      <c r="A750" s="1" t="inlineStr">
        <is>
          <t>2021-05-20</t>
        </is>
      </c>
      <c r="B750" t="inlineStr">
        <is>
          <t>news</t>
        </is>
      </c>
      <c r="C750" t="inlineStr">
        <is>
          <t>economy</t>
        </is>
      </c>
      <c r="D750" t="inlineStr">
        <is>
          <t>파이낸셜뉴스</t>
        </is>
      </c>
      <c r="E750" t="inlineStr">
        <is>
          <t>김미정</t>
        </is>
      </c>
      <c r="F750" t="inlineStr">
        <is>
          <t>포스코, 호주 니켈 광산회사 지분 인수… 2차전지 원료 ‘선점’</t>
        </is>
      </c>
      <c r="G750" s="2">
        <f>HYPERLINK("http://www.fnnews.com/news/202105201803180109", "Go to Website")</f>
        <v/>
      </c>
      <c r="H750" t="inlineStr"/>
      <c r="I750" t="inlineStr">
        <is>
          <t>C24</t>
        </is>
      </c>
      <c r="J750" s="3" t="n">
        <v>0.966</v>
      </c>
      <c r="K750" t="inlineStr">
        <is>
          <t>1차 금속 제조업</t>
        </is>
      </c>
      <c r="L750" t="inlineStr">
        <is>
          <t>1</t>
        </is>
      </c>
      <c r="M750" s="3" t="n">
        <v>0.979</v>
      </c>
      <c r="N750" t="inlineStr">
        <is>
          <t>긍정</t>
        </is>
      </c>
    </row>
    <row r="751">
      <c r="A751" s="1" t="inlineStr">
        <is>
          <t>2021-05-20</t>
        </is>
      </c>
      <c r="B751" t="inlineStr">
        <is>
          <t>news</t>
        </is>
      </c>
      <c r="C751" t="inlineStr">
        <is>
          <t>economy</t>
        </is>
      </c>
      <c r="D751" t="inlineStr">
        <is>
          <t>파이낸셜뉴스</t>
        </is>
      </c>
      <c r="E751" t="inlineStr">
        <is>
          <t>김병덕</t>
        </is>
      </c>
      <c r="F751" t="inlineStr">
        <is>
          <t>현대차·기아, 4월 유럽 판매 전년대비 317% ‘껑충’</t>
        </is>
      </c>
      <c r="G751" s="2">
        <f>HYPERLINK("http://www.fnnews.com/news/202105201803236980", "Go to Website")</f>
        <v/>
      </c>
      <c r="H751" t="inlineStr"/>
      <c r="I751" t="inlineStr">
        <is>
          <t>C30</t>
        </is>
      </c>
      <c r="J751" s="3" t="n">
        <v>1</v>
      </c>
      <c r="K751" t="inlineStr">
        <is>
          <t>자동차 및 트레일러 제조업</t>
        </is>
      </c>
      <c r="L751" t="inlineStr"/>
      <c r="M751" t="inlineStr"/>
      <c r="N751" t="inlineStr"/>
    </row>
    <row r="752">
      <c r="A752" s="1" t="inlineStr">
        <is>
          <t>2021-05-20</t>
        </is>
      </c>
      <c r="B752" t="inlineStr">
        <is>
          <t>news</t>
        </is>
      </c>
      <c r="C752" t="inlineStr">
        <is>
          <t>economy</t>
        </is>
      </c>
      <c r="D752" t="inlineStr">
        <is>
          <t>한국경제TV</t>
        </is>
      </c>
      <c r="E752" t="inlineStr"/>
      <c r="F752" t="inlineStr">
        <is>
          <t>&lt;트레이딩핫타임&gt; 다시 올라올 때가 됐다! 2차전지 관련주 `천보`를 주목해야 하는 이유</t>
        </is>
      </c>
      <c r="G752" s="2">
        <f>HYPERLINK("https://www.wowtv.co.kr/NewsCenter/News/Read?articleId=A202105200323&amp;t=NNv", "Go to Website")</f>
        <v/>
      </c>
      <c r="H752" t="inlineStr"/>
      <c r="I752" t="inlineStr">
        <is>
          <t>100</t>
        </is>
      </c>
      <c r="J752" s="3" t="n">
        <v>0.535</v>
      </c>
      <c r="K752" t="inlineStr">
        <is>
          <t>분류 제외, 기타</t>
        </is>
      </c>
      <c r="L752" t="inlineStr">
        <is>
          <t>0</t>
        </is>
      </c>
      <c r="M752" s="3" t="n">
        <v>0.908</v>
      </c>
      <c r="N752" t="inlineStr">
        <is>
          <t>중립</t>
        </is>
      </c>
    </row>
    <row r="753">
      <c r="A753" s="1" t="inlineStr">
        <is>
          <t>2021-05-20</t>
        </is>
      </c>
      <c r="B753" t="inlineStr">
        <is>
          <t>news</t>
        </is>
      </c>
      <c r="C753" t="inlineStr">
        <is>
          <t>economy</t>
        </is>
      </c>
      <c r="D753" t="inlineStr">
        <is>
          <t>파이낸셜뉴스</t>
        </is>
      </c>
      <c r="E753" t="inlineStr">
        <is>
          <t>최종근</t>
        </is>
      </c>
      <c r="F753" t="inlineStr">
        <is>
          <t>친환경차 판매 급증… 넉달만에 10만대 육박</t>
        </is>
      </c>
      <c r="G753" s="2">
        <f>HYPERLINK("http://www.fnnews.com/news/202105201800314576", "Go to Website")</f>
        <v/>
      </c>
      <c r="H753" t="inlineStr"/>
      <c r="I753" t="inlineStr">
        <is>
          <t>C26</t>
        </is>
      </c>
      <c r="J753" s="3" t="n">
        <v>0.293</v>
      </c>
      <c r="K753" t="inlineStr">
        <is>
          <t>전자 부품, 컴퓨터, 영상, 음향 및 통신장비 제조업</t>
        </is>
      </c>
      <c r="L753" t="inlineStr"/>
      <c r="M753" t="inlineStr"/>
      <c r="N753" t="inlineStr"/>
    </row>
    <row r="754">
      <c r="A754" s="1" t="inlineStr">
        <is>
          <t>2021-05-20</t>
        </is>
      </c>
      <c r="B754" t="inlineStr">
        <is>
          <t>news</t>
        </is>
      </c>
      <c r="C754" t="inlineStr">
        <is>
          <t>economy</t>
        </is>
      </c>
      <c r="D754" t="inlineStr">
        <is>
          <t>서울경제</t>
        </is>
      </c>
      <c r="E754" t="inlineStr">
        <is>
          <t>한재영</t>
        </is>
      </c>
      <c r="F754" t="inlineStr">
        <is>
          <t>K배터리, 美 완성차 1·2위와 파트너···'바이 아메리카'에 화답</t>
        </is>
      </c>
      <c r="G754" s="2">
        <f>HYPERLINK("https://www.sedaily.com/NewsView/22MFNR0MX7", "Go to Website")</f>
        <v/>
      </c>
      <c r="H754" t="inlineStr"/>
      <c r="I754" t="inlineStr">
        <is>
          <t>C30</t>
        </is>
      </c>
      <c r="J754" s="3" t="n">
        <v>0.5639999999999999</v>
      </c>
      <c r="K754" t="inlineStr">
        <is>
          <t>자동차 및 트레일러 제조업</t>
        </is>
      </c>
      <c r="L754" t="inlineStr"/>
      <c r="M754" t="inlineStr"/>
      <c r="N754" t="inlineStr"/>
    </row>
    <row r="755">
      <c r="A755" s="1" t="inlineStr">
        <is>
          <t>2021-05-20</t>
        </is>
      </c>
      <c r="B755" t="inlineStr">
        <is>
          <t>news</t>
        </is>
      </c>
      <c r="C755" t="inlineStr">
        <is>
          <t>economy</t>
        </is>
      </c>
      <c r="D755" t="inlineStr">
        <is>
          <t>한국일보</t>
        </is>
      </c>
      <c r="E755" t="inlineStr">
        <is>
          <t>김경준</t>
        </is>
      </c>
      <c r="F755" t="inlineStr">
        <is>
          <t>'LG-GM' 이어 'SK-포드'도 합작사… 한미 배터리 동맹 가속화</t>
        </is>
      </c>
      <c r="G755" s="2">
        <f>HYPERLINK("https://hankookilbo.com/News/Read/A2021052015500005091?did=NA", "Go to Website")</f>
        <v/>
      </c>
      <c r="H755" t="inlineStr"/>
      <c r="I755" t="inlineStr">
        <is>
          <t>C30</t>
        </is>
      </c>
      <c r="J755" s="3" t="n">
        <v>0.98</v>
      </c>
      <c r="K755" t="inlineStr">
        <is>
          <t>자동차 및 트레일러 제조업</t>
        </is>
      </c>
      <c r="L755" t="inlineStr"/>
      <c r="M755" t="inlineStr"/>
      <c r="N755" t="inlineStr"/>
    </row>
    <row r="756">
      <c r="A756" s="1" t="inlineStr">
        <is>
          <t>2021-05-20</t>
        </is>
      </c>
      <c r="B756" t="inlineStr">
        <is>
          <t>news</t>
        </is>
      </c>
      <c r="C756" t="inlineStr">
        <is>
          <t>economy</t>
        </is>
      </c>
      <c r="D756" t="inlineStr">
        <is>
          <t>연합뉴스</t>
        </is>
      </c>
      <c r="E756" t="inlineStr">
        <is>
          <t>김선호</t>
        </is>
      </c>
      <c r="F756" t="inlineStr">
        <is>
          <t>전기차 배송 등 부산시 디지털 물류서비스 실증사업 선정</t>
        </is>
      </c>
      <c r="G756" s="2">
        <f>HYPERLINK("http://yna.kr/AKR20210520148200051?did=1195m", "Go to Website")</f>
        <v/>
      </c>
      <c r="H756" t="inlineStr"/>
      <c r="I756" t="inlineStr">
        <is>
          <t>H49</t>
        </is>
      </c>
      <c r="J756" s="3" t="n">
        <v>0.99</v>
      </c>
      <c r="K756" t="inlineStr">
        <is>
          <t>육상 운송 및 파이프라인 운송업</t>
        </is>
      </c>
      <c r="L756" t="inlineStr"/>
      <c r="M756" t="inlineStr"/>
      <c r="N756" t="inlineStr"/>
    </row>
    <row r="757">
      <c r="A757" s="1" t="inlineStr">
        <is>
          <t>2021-05-20</t>
        </is>
      </c>
      <c r="B757" t="inlineStr">
        <is>
          <t>news</t>
        </is>
      </c>
      <c r="C757" t="inlineStr">
        <is>
          <t>economy</t>
        </is>
      </c>
      <c r="D757" t="inlineStr">
        <is>
          <t>한국경제TV</t>
        </is>
      </c>
      <c r="E757" t="inlineStr">
        <is>
          <t>이민재</t>
        </is>
      </c>
      <c r="F757" t="inlineStr">
        <is>
          <t>"수혜주 찾아라"…반도체·자동차 `기대` [한미정상회담]</t>
        </is>
      </c>
      <c r="G757" s="2">
        <f>HYPERLINK("https://www.wowtv.co.kr/NewsCenter/News/Read?articleId=A202105200239&amp;t=NNv", "Go to Website")</f>
        <v/>
      </c>
      <c r="H757" t="inlineStr"/>
      <c r="I757" t="inlineStr">
        <is>
          <t>C24</t>
        </is>
      </c>
      <c r="J757" s="3" t="n">
        <v>0.823</v>
      </c>
      <c r="K757" t="inlineStr">
        <is>
          <t>1차 금속 제조업</t>
        </is>
      </c>
      <c r="L757" t="inlineStr"/>
      <c r="M757" t="inlineStr"/>
      <c r="N757" t="inlineStr"/>
    </row>
    <row r="758">
      <c r="A758" s="1" t="inlineStr">
        <is>
          <t>2021-05-20</t>
        </is>
      </c>
      <c r="B758" t="inlineStr">
        <is>
          <t>news</t>
        </is>
      </c>
      <c r="C758" t="inlineStr">
        <is>
          <t>economy</t>
        </is>
      </c>
      <c r="D758" t="inlineStr">
        <is>
          <t>서울경제</t>
        </is>
      </c>
      <c r="E758" t="inlineStr">
        <is>
          <t>김능현</t>
        </is>
      </c>
      <c r="F758" t="inlineStr">
        <is>
          <t>[단독] "모든 미래사업 국내서 하라"···현대차 노조의 '생떼'</t>
        </is>
      </c>
      <c r="G758" s="2">
        <f>HYPERLINK("https://www.sedaily.com/NewsView/22MFNHD226", "Go to Website")</f>
        <v/>
      </c>
      <c r="H758" t="inlineStr"/>
      <c r="I758" t="inlineStr">
        <is>
          <t>C31</t>
        </is>
      </c>
      <c r="J758" s="3" t="n">
        <v>0.586</v>
      </c>
      <c r="K758" t="inlineStr">
        <is>
          <t>기타 운송장비 제조업</t>
        </is>
      </c>
      <c r="L758" t="inlineStr">
        <is>
          <t>-1</t>
        </is>
      </c>
      <c r="M758" s="3" t="n">
        <v>0.986</v>
      </c>
      <c r="N758" t="inlineStr">
        <is>
          <t>부정</t>
        </is>
      </c>
    </row>
    <row r="759">
      <c r="A759" s="1" t="inlineStr">
        <is>
          <t>2021-05-20</t>
        </is>
      </c>
      <c r="B759" t="inlineStr">
        <is>
          <t>news</t>
        </is>
      </c>
      <c r="C759" t="inlineStr">
        <is>
          <t>economy</t>
        </is>
      </c>
      <c r="D759" t="inlineStr">
        <is>
          <t>아이뉴스24</t>
        </is>
      </c>
      <c r="E759" t="inlineStr">
        <is>
          <t>강길홍</t>
        </is>
      </c>
      <c r="F759" t="inlineStr">
        <is>
          <t>내연기관보다 빠르다…고성능 전기차 시장 활짝</t>
        </is>
      </c>
      <c r="G759" s="2">
        <f>HYPERLINK("http://www.inews24.com/view/1368760", "Go to Website")</f>
        <v/>
      </c>
      <c r="H759" t="inlineStr"/>
      <c r="I759" t="inlineStr">
        <is>
          <t>100</t>
        </is>
      </c>
      <c r="J759" s="3" t="n">
        <v>0.9370000000000001</v>
      </c>
      <c r="K759" t="inlineStr">
        <is>
          <t>분류 제외, 기타</t>
        </is>
      </c>
      <c r="L759" t="inlineStr">
        <is>
          <t>1</t>
        </is>
      </c>
      <c r="M759" s="3" t="n">
        <v>0.738</v>
      </c>
      <c r="N759" t="inlineStr">
        <is>
          <t>긍정</t>
        </is>
      </c>
    </row>
    <row r="760">
      <c r="A760" s="1" t="inlineStr">
        <is>
          <t>2021-05-20</t>
        </is>
      </c>
      <c r="B760" t="inlineStr">
        <is>
          <t>news</t>
        </is>
      </c>
      <c r="C760" t="inlineStr">
        <is>
          <t>economy</t>
        </is>
      </c>
      <c r="D760" t="inlineStr">
        <is>
          <t>매일경제</t>
        </is>
      </c>
      <c r="E760" t="inlineStr">
        <is>
          <t>문일호</t>
        </is>
      </c>
      <c r="F760" t="inlineStr">
        <is>
          <t>2030 "버텨라" 외치지만…김프 커진 뒤 폭락한 2018년 재연 우려</t>
        </is>
      </c>
      <c r="G760" s="2">
        <f>HYPERLINK("http://news.mk.co.kr/newsRead.php?no=487988&amp;year=2021", "Go to Website")</f>
        <v/>
      </c>
      <c r="H760" t="inlineStr"/>
      <c r="I760" t="inlineStr">
        <is>
          <t>C24</t>
        </is>
      </c>
      <c r="J760" s="3" t="n">
        <v>0.828</v>
      </c>
      <c r="K760" t="inlineStr">
        <is>
          <t>1차 금속 제조업</t>
        </is>
      </c>
      <c r="L760" t="inlineStr"/>
      <c r="M760" t="inlineStr"/>
      <c r="N760" t="inlineStr"/>
    </row>
    <row r="761">
      <c r="A761" s="1" t="inlineStr">
        <is>
          <t>2021-05-20</t>
        </is>
      </c>
      <c r="B761" t="inlineStr">
        <is>
          <t>news</t>
        </is>
      </c>
      <c r="C761" t="inlineStr">
        <is>
          <t>economy</t>
        </is>
      </c>
      <c r="D761" t="inlineStr">
        <is>
          <t>한국경제TV</t>
        </is>
      </c>
      <c r="E761" t="inlineStr">
        <is>
          <t>신용훈</t>
        </is>
      </c>
      <c r="F761" t="inlineStr">
        <is>
          <t>바이드노믹스 올라탄 한국 기업들 [미리 보는 한미정상회담]</t>
        </is>
      </c>
      <c r="G761" s="2">
        <f>HYPERLINK("https://www.wowtv.co.kr/NewsCenter/News/Read?articleId=A202105200074&amp;t=NNv", "Go to Website")</f>
        <v/>
      </c>
      <c r="H761" t="inlineStr"/>
      <c r="I761" t="inlineStr">
        <is>
          <t>100</t>
        </is>
      </c>
      <c r="J761" s="3" t="n">
        <v>0.93</v>
      </c>
      <c r="K761" t="inlineStr">
        <is>
          <t>분류 제외, 기타</t>
        </is>
      </c>
      <c r="L761" t="inlineStr"/>
      <c r="M761" t="inlineStr"/>
      <c r="N761" t="inlineStr"/>
    </row>
    <row r="762">
      <c r="A762" s="1" t="inlineStr">
        <is>
          <t>2021-05-20</t>
        </is>
      </c>
      <c r="B762" t="inlineStr">
        <is>
          <t>news</t>
        </is>
      </c>
      <c r="C762" t="inlineStr">
        <is>
          <t>economy</t>
        </is>
      </c>
      <c r="D762" t="inlineStr">
        <is>
          <t>매일경제</t>
        </is>
      </c>
      <c r="E762" t="inlineStr">
        <is>
          <t>신헌철</t>
        </is>
      </c>
      <c r="F762" t="inlineStr">
        <is>
          <t>한미동맹 최전선 나선 4대그룹, 40조원 對美투자 보따리 푼다</t>
        </is>
      </c>
      <c r="G762" s="2">
        <f>HYPERLINK("http://news.mk.co.kr/newsRead.php?no=487976&amp;year=2021", "Go to Website")</f>
        <v/>
      </c>
      <c r="H762" t="inlineStr"/>
      <c r="I762" t="inlineStr">
        <is>
          <t>100</t>
        </is>
      </c>
      <c r="J762" s="3" t="n">
        <v>0.377</v>
      </c>
      <c r="K762" t="inlineStr">
        <is>
          <t>분류 제외, 기타</t>
        </is>
      </c>
      <c r="L762" t="inlineStr"/>
      <c r="M762" t="inlineStr"/>
      <c r="N762" t="inlineStr"/>
    </row>
    <row r="763">
      <c r="A763" s="1" t="inlineStr">
        <is>
          <t>2021-05-20</t>
        </is>
      </c>
      <c r="B763" t="inlineStr">
        <is>
          <t>news</t>
        </is>
      </c>
      <c r="C763" t="inlineStr">
        <is>
          <t>economy</t>
        </is>
      </c>
      <c r="D763" t="inlineStr">
        <is>
          <t>매일경제</t>
        </is>
      </c>
      <c r="E763" t="inlineStr">
        <is>
          <t>이윤재</t>
        </is>
      </c>
      <c r="F763" t="inlineStr">
        <is>
          <t>美완성차 1·2위가 K배터리와 동맹…바이든, 中전기차 굴기 견제</t>
        </is>
      </c>
      <c r="G763" s="2">
        <f>HYPERLINK("http://news.mk.co.kr/newsRead.php?no=487979&amp;year=2021", "Go to Website")</f>
        <v/>
      </c>
      <c r="H763" t="inlineStr"/>
      <c r="I763" t="inlineStr">
        <is>
          <t>K64</t>
        </is>
      </c>
      <c r="J763" s="3" t="n">
        <v>0.8149999999999999</v>
      </c>
      <c r="K763" t="inlineStr">
        <is>
          <t>금융업</t>
        </is>
      </c>
      <c r="L763" t="inlineStr"/>
      <c r="M763" t="inlineStr"/>
      <c r="N763" t="inlineStr"/>
    </row>
    <row r="764">
      <c r="A764" s="1" t="inlineStr">
        <is>
          <t>2021-05-20</t>
        </is>
      </c>
      <c r="B764" t="inlineStr">
        <is>
          <t>news</t>
        </is>
      </c>
      <c r="C764" t="inlineStr">
        <is>
          <t>economy</t>
        </is>
      </c>
      <c r="D764" t="inlineStr">
        <is>
          <t>서울신문</t>
        </is>
      </c>
      <c r="E764" t="inlineStr">
        <is>
          <t>이영준</t>
        </is>
      </c>
      <c r="F764" t="inlineStr">
        <is>
          <t>어벤져스에서 아이언맨이 탄 그 차… 아우디 ‘e트론 GT‘ 공개</t>
        </is>
      </c>
      <c r="G764" s="2">
        <f>HYPERLINK("https://www.seoul.co.kr/news/newsView.php?id=20210520500113", "Go to Website")</f>
        <v/>
      </c>
      <c r="H764" t="inlineStr"/>
      <c r="I764" t="inlineStr">
        <is>
          <t>C29</t>
        </is>
      </c>
      <c r="J764" s="3" t="n">
        <v>0.823</v>
      </c>
      <c r="K764" t="inlineStr">
        <is>
          <t>기타 기계 및 장비 제조업</t>
        </is>
      </c>
      <c r="L764" t="inlineStr"/>
      <c r="M764" t="inlineStr"/>
      <c r="N764" t="inlineStr"/>
    </row>
    <row r="765">
      <c r="A765" s="1" t="inlineStr">
        <is>
          <t>2021-05-20</t>
        </is>
      </c>
      <c r="B765" t="inlineStr">
        <is>
          <t>news</t>
        </is>
      </c>
      <c r="C765" t="inlineStr">
        <is>
          <t>economy</t>
        </is>
      </c>
      <c r="D765" t="inlineStr">
        <is>
          <t>뉴스1</t>
        </is>
      </c>
      <c r="E765" t="inlineStr">
        <is>
          <t>국종환</t>
        </is>
      </c>
      <c r="F765" t="inlineStr">
        <is>
          <t>신한금융, 2030년까지 업무용 차 6.3만대 무공해차로 100% 교체</t>
        </is>
      </c>
      <c r="G765" s="2">
        <f>HYPERLINK("https://www.news1.kr/articles/?4312750", "Go to Website")</f>
        <v/>
      </c>
      <c r="H765" t="inlineStr"/>
      <c r="I765" t="inlineStr">
        <is>
          <t>C28</t>
        </is>
      </c>
      <c r="J765" s="3" t="n">
        <v>0.7</v>
      </c>
      <c r="K765" t="inlineStr">
        <is>
          <t>전기장비 제조업</t>
        </is>
      </c>
      <c r="L765" t="inlineStr">
        <is>
          <t>0</t>
        </is>
      </c>
      <c r="M765" s="3" t="n">
        <v>0.98</v>
      </c>
      <c r="N765" t="inlineStr">
        <is>
          <t>중립</t>
        </is>
      </c>
    </row>
    <row r="766">
      <c r="A766" s="1" t="inlineStr">
        <is>
          <t>2021-05-20</t>
        </is>
      </c>
      <c r="B766" t="inlineStr">
        <is>
          <t>news</t>
        </is>
      </c>
      <c r="C766" t="inlineStr">
        <is>
          <t>economy</t>
        </is>
      </c>
      <c r="D766" t="inlineStr">
        <is>
          <t>매일경제</t>
        </is>
      </c>
      <c r="E766" t="inlineStr">
        <is>
          <t>이유섭</t>
        </is>
      </c>
      <c r="F766" t="inlineStr">
        <is>
          <t>이번엔 니켈…포스코, 배터리 원료공급망 강화</t>
        </is>
      </c>
      <c r="G766" s="2">
        <f>HYPERLINK("http://news.mk.co.kr/newsRead.php?no=487956&amp;year=2021", "Go to Website")</f>
        <v/>
      </c>
      <c r="H766" t="inlineStr"/>
      <c r="I766" t="inlineStr">
        <is>
          <t>C24</t>
        </is>
      </c>
      <c r="J766" s="3" t="n">
        <v>0.968</v>
      </c>
      <c r="K766" t="inlineStr">
        <is>
          <t>1차 금속 제조업</t>
        </is>
      </c>
      <c r="L766" t="inlineStr">
        <is>
          <t>1</t>
        </is>
      </c>
      <c r="M766" s="3" t="n">
        <v>0.954</v>
      </c>
      <c r="N766" t="inlineStr">
        <is>
          <t>긍정</t>
        </is>
      </c>
    </row>
    <row r="767">
      <c r="A767" s="1" t="inlineStr">
        <is>
          <t>2021-05-20</t>
        </is>
      </c>
      <c r="B767" t="inlineStr">
        <is>
          <t>news</t>
        </is>
      </c>
      <c r="C767" t="inlineStr">
        <is>
          <t>economy</t>
        </is>
      </c>
      <c r="D767" t="inlineStr">
        <is>
          <t>서울신문</t>
        </is>
      </c>
      <c r="E767" t="inlineStr">
        <is>
          <t>이영준</t>
        </is>
      </c>
      <c r="F767" t="inlineStr">
        <is>
          <t>SK, 美 포드와 배터리 합작공장 짓는다… LG-GM에 ‘견제구’</t>
        </is>
      </c>
      <c r="G767" s="2">
        <f>HYPERLINK("https://www.seoul.co.kr/news/newsView.php?id=20210520500109", "Go to Website")</f>
        <v/>
      </c>
      <c r="H767" t="inlineStr"/>
      <c r="I767" t="inlineStr">
        <is>
          <t>K64</t>
        </is>
      </c>
      <c r="J767" s="3" t="n">
        <v>0.946</v>
      </c>
      <c r="K767" t="inlineStr">
        <is>
          <t>금융업</t>
        </is>
      </c>
      <c r="L767" t="inlineStr"/>
      <c r="M767" t="inlineStr"/>
      <c r="N767" t="inlineStr"/>
    </row>
    <row r="768">
      <c r="A768" s="1" t="inlineStr">
        <is>
          <t>2021-05-20</t>
        </is>
      </c>
      <c r="B768" t="inlineStr">
        <is>
          <t>news</t>
        </is>
      </c>
      <c r="C768" t="inlineStr">
        <is>
          <t>economy</t>
        </is>
      </c>
      <c r="D768" t="inlineStr">
        <is>
          <t>TV조선</t>
        </is>
      </c>
      <c r="E768" t="inlineStr">
        <is>
          <t>이상배</t>
        </is>
      </c>
      <c r="F768" t="inlineStr">
        <is>
          <t>포스코, 호주 이차전지용 니켈 광산회사 지분 인수</t>
        </is>
      </c>
      <c r="G768" s="2">
        <f>HYPERLINK("http://news.tvchosun.com/site/data/html_dir/2021/05/20/2021052090092.html", "Go to Website")</f>
        <v/>
      </c>
      <c r="H768" t="inlineStr"/>
      <c r="I768" t="inlineStr">
        <is>
          <t>C24</t>
        </is>
      </c>
      <c r="J768" s="3" t="n">
        <v>1</v>
      </c>
      <c r="K768" t="inlineStr">
        <is>
          <t>1차 금속 제조업</t>
        </is>
      </c>
      <c r="L768" t="inlineStr">
        <is>
          <t>1</t>
        </is>
      </c>
      <c r="M768" s="3" t="n">
        <v>0.752</v>
      </c>
      <c r="N768" t="inlineStr">
        <is>
          <t>긍정</t>
        </is>
      </c>
    </row>
    <row r="769">
      <c r="A769" s="1" t="inlineStr">
        <is>
          <t>2021-05-20</t>
        </is>
      </c>
      <c r="B769" t="inlineStr">
        <is>
          <t>news</t>
        </is>
      </c>
      <c r="C769" t="inlineStr">
        <is>
          <t>economy</t>
        </is>
      </c>
      <c r="D769" t="inlineStr">
        <is>
          <t>중앙일보</t>
        </is>
      </c>
      <c r="E769" t="inlineStr">
        <is>
          <t>최선욱</t>
        </is>
      </c>
      <c r="F769" t="inlineStr">
        <is>
          <t>文대통령, SK 공장 ‘나홀로’ 방문에…SK도 LG도 '표정관리' 중</t>
        </is>
      </c>
      <c r="G769" s="2">
        <f>HYPERLINK("https://news.joins.com/article/olink/23657294", "Go to Website")</f>
        <v/>
      </c>
      <c r="H769" t="inlineStr"/>
      <c r="I769" t="inlineStr">
        <is>
          <t>K64</t>
        </is>
      </c>
      <c r="J769" s="3" t="n">
        <v>0.824</v>
      </c>
      <c r="K769" t="inlineStr">
        <is>
          <t>금융업</t>
        </is>
      </c>
      <c r="L769" t="inlineStr"/>
      <c r="M769" t="inlineStr"/>
      <c r="N769" t="inlineStr"/>
    </row>
    <row r="770">
      <c r="A770" s="1" t="inlineStr">
        <is>
          <t>2021-05-20</t>
        </is>
      </c>
      <c r="B770" t="inlineStr">
        <is>
          <t>news</t>
        </is>
      </c>
      <c r="C770" t="inlineStr">
        <is>
          <t>economy</t>
        </is>
      </c>
      <c r="D770" t="inlineStr">
        <is>
          <t>매일경제</t>
        </is>
      </c>
      <c r="E770" t="inlineStr">
        <is>
          <t>최근도</t>
        </is>
      </c>
      <c r="F770" t="inlineStr">
        <is>
          <t>수소부터 배터리까지…롯데케미칼 친환경 박차</t>
        </is>
      </c>
      <c r="G770" s="2">
        <f>HYPERLINK("http://news.mk.co.kr/newsRead.php?no=487884&amp;year=2021", "Go to Website")</f>
        <v/>
      </c>
      <c r="H770" t="inlineStr"/>
      <c r="I770" t="inlineStr">
        <is>
          <t>C20</t>
        </is>
      </c>
      <c r="J770" s="3" t="n">
        <v>1</v>
      </c>
      <c r="K770" t="inlineStr">
        <is>
          <t>화학 물질 및 화학제품 제조업; 의약품 제외</t>
        </is>
      </c>
      <c r="L770" t="inlineStr">
        <is>
          <t>1</t>
        </is>
      </c>
      <c r="M770" s="3" t="n">
        <v>0.969</v>
      </c>
      <c r="N770" t="inlineStr">
        <is>
          <t>긍정</t>
        </is>
      </c>
    </row>
    <row r="771">
      <c r="A771" s="1" t="inlineStr">
        <is>
          <t>2021-05-20</t>
        </is>
      </c>
      <c r="B771" t="inlineStr">
        <is>
          <t>news</t>
        </is>
      </c>
      <c r="C771" t="inlineStr">
        <is>
          <t>economy</t>
        </is>
      </c>
      <c r="D771" t="inlineStr">
        <is>
          <t>연합뉴스</t>
        </is>
      </c>
      <c r="E771" t="inlineStr">
        <is>
          <t>김영신</t>
        </is>
      </c>
      <c r="F771" t="inlineStr">
        <is>
          <t>SK이노, 포드와 맞손…미국 그린뉴딜 타고 영토 넓히는 K배터리</t>
        </is>
      </c>
      <c r="G771" s="2">
        <f>HYPERLINK("http://yna.kr/AKR20210520144100003?did=1195m", "Go to Website")</f>
        <v/>
      </c>
      <c r="H771" t="inlineStr"/>
      <c r="I771" t="inlineStr">
        <is>
          <t>K64</t>
        </is>
      </c>
      <c r="J771" s="3" t="n">
        <v>0.6860000000000001</v>
      </c>
      <c r="K771" t="inlineStr">
        <is>
          <t>금융업</t>
        </is>
      </c>
      <c r="L771" t="inlineStr"/>
      <c r="M771" t="inlineStr"/>
      <c r="N771" t="inlineStr"/>
    </row>
    <row r="772">
      <c r="A772" s="1" t="inlineStr">
        <is>
          <t>2021-05-20</t>
        </is>
      </c>
      <c r="B772" t="inlineStr">
        <is>
          <t>news</t>
        </is>
      </c>
      <c r="C772" t="inlineStr">
        <is>
          <t>tech</t>
        </is>
      </c>
      <c r="D772" t="inlineStr">
        <is>
          <t>블로터</t>
        </is>
      </c>
      <c r="E772" t="inlineStr">
        <is>
          <t>김성진</t>
        </is>
      </c>
      <c r="F772" t="inlineStr">
        <is>
          <t>[EV·수소 밸류체인]'공룡' 롯데케미칼의 배터리 사업 확장...늦어도 한참 늦었다</t>
        </is>
      </c>
      <c r="G772" s="2">
        <f>HYPERLINK("http://www.bloter.net/newsView/blt202105200021", "Go to Website")</f>
        <v/>
      </c>
      <c r="H772" t="inlineStr"/>
      <c r="I772" t="inlineStr"/>
      <c r="J772" t="inlineStr"/>
      <c r="K772" t="inlineStr"/>
      <c r="L772" t="inlineStr"/>
      <c r="M772" t="inlineStr"/>
      <c r="N772" t="inlineStr"/>
    </row>
    <row r="773">
      <c r="A773" s="1" t="inlineStr">
        <is>
          <t>2021-05-20</t>
        </is>
      </c>
      <c r="B773" t="inlineStr">
        <is>
          <t>news</t>
        </is>
      </c>
      <c r="C773" t="inlineStr">
        <is>
          <t>economy</t>
        </is>
      </c>
      <c r="D773" t="inlineStr">
        <is>
          <t>연합뉴스TV</t>
        </is>
      </c>
      <c r="E773" t="inlineStr">
        <is>
          <t>나경렬</t>
        </is>
      </c>
      <c r="F773" t="inlineStr">
        <is>
          <t>4대 그룹, 미국에 40조 투자…핵심은 반도체·전기차</t>
        </is>
      </c>
      <c r="G773" s="2">
        <f>HYPERLINK("http://www.yonhapnewstv.co.kr/MYH20210520015300641/?did=1825m", "Go to Website")</f>
        <v/>
      </c>
      <c r="H773" t="inlineStr"/>
      <c r="I773" t="inlineStr">
        <is>
          <t>C26</t>
        </is>
      </c>
      <c r="J773" s="3" t="n">
        <v>0.882</v>
      </c>
      <c r="K773" t="inlineStr">
        <is>
          <t>전자 부품, 컴퓨터, 영상, 음향 및 통신장비 제조업</t>
        </is>
      </c>
      <c r="L773" t="inlineStr"/>
      <c r="M773" t="inlineStr"/>
      <c r="N773" t="inlineStr"/>
    </row>
    <row r="774">
      <c r="A774" s="1" t="inlineStr">
        <is>
          <t>2021-05-20</t>
        </is>
      </c>
      <c r="B774" t="inlineStr">
        <is>
          <t>news</t>
        </is>
      </c>
      <c r="C774" t="inlineStr">
        <is>
          <t>economy</t>
        </is>
      </c>
      <c r="D774" t="inlineStr">
        <is>
          <t>매일경제</t>
        </is>
      </c>
      <c r="E774" t="inlineStr">
        <is>
          <t>강봉진</t>
        </is>
      </c>
      <c r="F774" t="inlineStr">
        <is>
          <t>코로나 전보다 좋다…상장사 66% 깜짝실적</t>
        </is>
      </c>
      <c r="G774" s="2">
        <f>HYPERLINK("http://news.mk.co.kr/newsRead.php?no=487825&amp;year=2021", "Go to Website")</f>
        <v/>
      </c>
      <c r="H774" t="inlineStr"/>
      <c r="I774" t="inlineStr">
        <is>
          <t>Q86</t>
        </is>
      </c>
      <c r="J774" s="3" t="n">
        <v>0.589</v>
      </c>
      <c r="K774" t="inlineStr">
        <is>
          <t>보건업</t>
        </is>
      </c>
      <c r="L774" t="inlineStr"/>
      <c r="M774" t="inlineStr"/>
      <c r="N774" t="inlineStr"/>
    </row>
    <row r="775">
      <c r="A775" s="1" t="inlineStr">
        <is>
          <t>2021-05-20</t>
        </is>
      </c>
      <c r="B775" t="inlineStr">
        <is>
          <t>news</t>
        </is>
      </c>
      <c r="C775" t="inlineStr">
        <is>
          <t>economy</t>
        </is>
      </c>
      <c r="D775" t="inlineStr">
        <is>
          <t>MBC</t>
        </is>
      </c>
      <c r="E775" t="inlineStr">
        <is>
          <t>삼성증권</t>
        </is>
      </c>
      <c r="F775" t="inlineStr">
        <is>
          <t>코스피 하락 마감…자동차대표주·정유주 ↓</t>
        </is>
      </c>
      <c r="G775" s="2">
        <f>HYPERLINK("https://imnews.imbc.com/replay/2021/nw1700/article/6185008_34922.html", "Go to Website")</f>
        <v/>
      </c>
      <c r="H775" t="inlineStr"/>
      <c r="I775" t="inlineStr">
        <is>
          <t>100</t>
        </is>
      </c>
      <c r="J775" s="3" t="n">
        <v>0.979</v>
      </c>
      <c r="K775" t="inlineStr">
        <is>
          <t>분류 제외, 기타</t>
        </is>
      </c>
      <c r="L775" t="inlineStr"/>
      <c r="M775" t="inlineStr"/>
      <c r="N775" t="inlineStr"/>
    </row>
    <row r="776">
      <c r="A776" s="1" t="inlineStr">
        <is>
          <t>2021-05-20</t>
        </is>
      </c>
      <c r="B776" t="inlineStr">
        <is>
          <t>news</t>
        </is>
      </c>
      <c r="C776" t="inlineStr">
        <is>
          <t>economy</t>
        </is>
      </c>
      <c r="D776" t="inlineStr">
        <is>
          <t>한국경제</t>
        </is>
      </c>
      <c r="E776" t="inlineStr">
        <is>
          <t>안상미</t>
        </is>
      </c>
      <c r="F776" t="inlineStr">
        <is>
          <t>코오롱 하늘채에 '맞춤형 스마트홈'</t>
        </is>
      </c>
      <c r="G776" s="2">
        <f>HYPERLINK("https://www.hankyung.com/realestate/article/2021052026811", "Go to Website")</f>
        <v/>
      </c>
      <c r="H776" t="inlineStr"/>
      <c r="I776" t="inlineStr">
        <is>
          <t>K64</t>
        </is>
      </c>
      <c r="J776" s="3" t="n">
        <v>0.638</v>
      </c>
      <c r="K776" t="inlineStr">
        <is>
          <t>금융업</t>
        </is>
      </c>
      <c r="L776" t="inlineStr">
        <is>
          <t>0</t>
        </is>
      </c>
      <c r="M776" s="3" t="n">
        <v>0.854</v>
      </c>
      <c r="N776" t="inlineStr">
        <is>
          <t>중립</t>
        </is>
      </c>
    </row>
    <row r="777">
      <c r="A777" s="1" t="inlineStr">
        <is>
          <t>2021-05-20</t>
        </is>
      </c>
      <c r="B777" t="inlineStr">
        <is>
          <t>news</t>
        </is>
      </c>
      <c r="C777" t="inlineStr">
        <is>
          <t>economy</t>
        </is>
      </c>
      <c r="D777" t="inlineStr">
        <is>
          <t>국민일보</t>
        </is>
      </c>
      <c r="E777" t="inlineStr">
        <is>
          <t>김준엽</t>
        </is>
      </c>
      <c r="F777" t="inlineStr">
        <is>
          <t>한·미 경제동맹 원동력 된 ‘K-배터리…양국 정상도 “밀어주마”</t>
        </is>
      </c>
      <c r="G777" s="2">
        <f>HYPERLINK("http://news.kmib.co.kr/article/view.asp?arcid=0015865730&amp;code=61141411", "Go to Website")</f>
        <v/>
      </c>
      <c r="H777" t="inlineStr"/>
      <c r="I777" t="inlineStr">
        <is>
          <t>C15</t>
        </is>
      </c>
      <c r="J777" s="3" t="n">
        <v>0.53</v>
      </c>
      <c r="K777" t="inlineStr">
        <is>
          <t>가죽, 가방 및 신발 제조업</t>
        </is>
      </c>
      <c r="L777" t="inlineStr"/>
      <c r="M777" t="inlineStr"/>
      <c r="N777" t="inlineStr"/>
    </row>
    <row r="778">
      <c r="A778" s="1" t="inlineStr">
        <is>
          <t>2021-05-20</t>
        </is>
      </c>
      <c r="B778" t="inlineStr">
        <is>
          <t>news</t>
        </is>
      </c>
      <c r="C778" t="inlineStr">
        <is>
          <t>tech</t>
        </is>
      </c>
      <c r="D778" t="inlineStr">
        <is>
          <t>전자신문</t>
        </is>
      </c>
      <c r="E778" t="inlineStr">
        <is>
          <t>윤건일</t>
        </is>
      </c>
      <c r="F778" t="inlineStr">
        <is>
          <t>[프리즘]배터리 '제2 반도체' 되려면</t>
        </is>
      </c>
      <c r="G778" s="2">
        <f>HYPERLINK("http://www.etnews.com/20210520000131", "Go to Website")</f>
        <v/>
      </c>
      <c r="H778" t="inlineStr"/>
      <c r="I778" t="inlineStr"/>
      <c r="J778" t="inlineStr"/>
      <c r="K778" t="inlineStr"/>
      <c r="L778" t="inlineStr"/>
      <c r="M778" t="inlineStr"/>
      <c r="N778" t="inlineStr"/>
    </row>
    <row r="779">
      <c r="A779" s="1" t="inlineStr">
        <is>
          <t>2021-05-20</t>
        </is>
      </c>
      <c r="B779" t="inlineStr">
        <is>
          <t>news</t>
        </is>
      </c>
      <c r="C779" t="inlineStr">
        <is>
          <t>economy</t>
        </is>
      </c>
      <c r="D779" t="inlineStr">
        <is>
          <t>머니S</t>
        </is>
      </c>
      <c r="E779" t="inlineStr">
        <is>
          <t>강한빛</t>
        </is>
      </c>
      <c r="F779" t="inlineStr">
        <is>
          <t>신한금융 "업무용 차량 무공해로 전부 교체"…  ESG경영 강화</t>
        </is>
      </c>
      <c r="G779" s="2">
        <f>HYPERLINK("http://moneys.mt.co.kr/news/mwView.php?no=2021052016498051665", "Go to Website")</f>
        <v/>
      </c>
      <c r="H779" t="inlineStr"/>
      <c r="I779" t="inlineStr">
        <is>
          <t>K64</t>
        </is>
      </c>
      <c r="J779" s="3" t="n">
        <v>0.696</v>
      </c>
      <c r="K779" t="inlineStr">
        <is>
          <t>금융업</t>
        </is>
      </c>
      <c r="L779" t="inlineStr">
        <is>
          <t>0</t>
        </is>
      </c>
      <c r="M779" s="3" t="n">
        <v>0.995</v>
      </c>
      <c r="N779" t="inlineStr">
        <is>
          <t>중립</t>
        </is>
      </c>
    </row>
    <row r="780">
      <c r="A780" s="1" t="inlineStr">
        <is>
          <t>2021-05-20</t>
        </is>
      </c>
      <c r="B780" t="inlineStr">
        <is>
          <t>news</t>
        </is>
      </c>
      <c r="C780" t="inlineStr">
        <is>
          <t>economy</t>
        </is>
      </c>
      <c r="D780" t="inlineStr">
        <is>
          <t>더팩트</t>
        </is>
      </c>
      <c r="E780" t="inlineStr">
        <is>
          <t>이재빈</t>
        </is>
      </c>
      <c r="F780" t="inlineStr">
        <is>
          <t>롯데케미칼, 배터리용 전해액 유기용매 생산시설 건설</t>
        </is>
      </c>
      <c r="G780" s="2">
        <f>HYPERLINK("http://news.tf.co.kr/read/economy/1862387.htm", "Go to Website")</f>
        <v/>
      </c>
      <c r="H780" t="inlineStr"/>
      <c r="I780" t="inlineStr">
        <is>
          <t>C20</t>
        </is>
      </c>
      <c r="J780" s="3" t="n">
        <v>1</v>
      </c>
      <c r="K780" t="inlineStr">
        <is>
          <t>화학 물질 및 화학제품 제조업; 의약품 제외</t>
        </is>
      </c>
      <c r="L780" t="inlineStr">
        <is>
          <t>1</t>
        </is>
      </c>
      <c r="M780" s="3" t="n">
        <v>0.788</v>
      </c>
      <c r="N780" t="inlineStr">
        <is>
          <t>긍정</t>
        </is>
      </c>
    </row>
    <row r="781">
      <c r="A781" s="1" t="inlineStr">
        <is>
          <t>2021-05-20</t>
        </is>
      </c>
      <c r="B781" t="inlineStr">
        <is>
          <t>news</t>
        </is>
      </c>
      <c r="C781" t="inlineStr">
        <is>
          <t>economy</t>
        </is>
      </c>
      <c r="D781" t="inlineStr">
        <is>
          <t>더팩트</t>
        </is>
      </c>
      <c r="E781" t="inlineStr">
        <is>
          <t>이재빈</t>
        </is>
      </c>
      <c r="F781" t="inlineStr">
        <is>
          <t>김형 대우건설 사장, '어린이 교통안전 릴레이 챌린지' 참여</t>
        </is>
      </c>
      <c r="G781" s="2">
        <f>HYPERLINK("http://news.tf.co.kr/read/economy/1862365.htm", "Go to Website")</f>
        <v/>
      </c>
      <c r="H781" t="inlineStr"/>
      <c r="I781" t="inlineStr">
        <is>
          <t>F41</t>
        </is>
      </c>
      <c r="J781" s="3" t="n">
        <v>0.997</v>
      </c>
      <c r="K781" t="inlineStr">
        <is>
          <t>종합 건설업</t>
        </is>
      </c>
      <c r="L781" t="inlineStr">
        <is>
          <t>0</t>
        </is>
      </c>
      <c r="M781" s="3" t="n">
        <v>0.999</v>
      </c>
      <c r="N781" t="inlineStr">
        <is>
          <t>중립</t>
        </is>
      </c>
    </row>
    <row r="782">
      <c r="A782" s="1" t="inlineStr">
        <is>
          <t>2021-05-20</t>
        </is>
      </c>
      <c r="B782" t="inlineStr">
        <is>
          <t>news</t>
        </is>
      </c>
      <c r="C782" t="inlineStr">
        <is>
          <t>economy</t>
        </is>
      </c>
      <c r="D782" t="inlineStr">
        <is>
          <t>조선일보</t>
        </is>
      </c>
      <c r="E782" t="inlineStr">
        <is>
          <t>방현철</t>
        </is>
      </c>
      <c r="F782" t="inlineStr">
        <is>
          <t>비트코인 가격 폭락, 정말 ‘버블 붕괴' 상황일까</t>
        </is>
      </c>
      <c r="G782" s="2">
        <f>HYPERLINK("https://www.chosun.com/economy/2021/05/20/CVNSADUPJ5FEJCIAOY7V7WXU7U/?utm_medium=referral&amp;utm_campaign=naver-news", "Go to Website")</f>
        <v/>
      </c>
      <c r="H782" t="inlineStr"/>
      <c r="I782" t="inlineStr">
        <is>
          <t>100</t>
        </is>
      </c>
      <c r="J782" s="3" t="n">
        <v>0.863</v>
      </c>
      <c r="K782" t="inlineStr">
        <is>
          <t>분류 제외, 기타</t>
        </is>
      </c>
      <c r="L782" t="inlineStr"/>
      <c r="M782" t="inlineStr"/>
      <c r="N782" t="inlineStr"/>
    </row>
    <row r="783">
      <c r="A783" s="1" t="inlineStr">
        <is>
          <t>2021-05-20</t>
        </is>
      </c>
      <c r="B783" t="inlineStr">
        <is>
          <t>news</t>
        </is>
      </c>
      <c r="C783" t="inlineStr">
        <is>
          <t>economy</t>
        </is>
      </c>
      <c r="D783" t="inlineStr">
        <is>
          <t>한국경제</t>
        </is>
      </c>
      <c r="E783" t="inlineStr">
        <is>
          <t>안재광</t>
        </is>
      </c>
      <c r="F783" t="inlineStr">
        <is>
          <t>SK이노-포드 '배터리 동맹'…美에 공장 지어 전기차 70만대분 생산</t>
        </is>
      </c>
      <c r="G783" s="2">
        <f>HYPERLINK("https://www.hankyung.com/economy/article/2021052026991", "Go to Website")</f>
        <v/>
      </c>
      <c r="H783" t="inlineStr"/>
      <c r="I783" t="inlineStr">
        <is>
          <t>K64</t>
        </is>
      </c>
      <c r="J783" s="3" t="n">
        <v>0.76</v>
      </c>
      <c r="K783" t="inlineStr">
        <is>
          <t>금융업</t>
        </is>
      </c>
      <c r="L783" t="inlineStr">
        <is>
          <t>1</t>
        </is>
      </c>
      <c r="M783" s="3" t="n">
        <v>0.8090000000000001</v>
      </c>
      <c r="N783" t="inlineStr">
        <is>
          <t>긍정</t>
        </is>
      </c>
    </row>
    <row r="784">
      <c r="A784" s="1" t="inlineStr">
        <is>
          <t>2021-05-20</t>
        </is>
      </c>
      <c r="B784" t="inlineStr">
        <is>
          <t>news</t>
        </is>
      </c>
      <c r="C784" t="inlineStr">
        <is>
          <t>economy</t>
        </is>
      </c>
      <c r="D784" t="inlineStr">
        <is>
          <t>한국경제</t>
        </is>
      </c>
      <c r="E784" t="inlineStr">
        <is>
          <t>김형규</t>
        </is>
      </c>
      <c r="F784" t="inlineStr">
        <is>
          <t>현대차·기아 유럽서 '가속페달'…4월 판매 4배 급증 점유율 4위</t>
        </is>
      </c>
      <c r="G784" s="2">
        <f>HYPERLINK("https://www.hankyung.com/economy/article/2021052026951", "Go to Website")</f>
        <v/>
      </c>
      <c r="H784" t="inlineStr"/>
      <c r="I784" t="inlineStr">
        <is>
          <t>C30</t>
        </is>
      </c>
      <c r="J784" s="3" t="n">
        <v>1</v>
      </c>
      <c r="K784" t="inlineStr">
        <is>
          <t>자동차 및 트레일러 제조업</t>
        </is>
      </c>
      <c r="L784" t="inlineStr"/>
      <c r="M784" t="inlineStr"/>
      <c r="N784" t="inlineStr"/>
    </row>
    <row r="785">
      <c r="A785" s="1" t="inlineStr">
        <is>
          <t>2021-05-20</t>
        </is>
      </c>
      <c r="B785" t="inlineStr">
        <is>
          <t>news</t>
        </is>
      </c>
      <c r="C785" t="inlineStr">
        <is>
          <t>economy</t>
        </is>
      </c>
      <c r="D785" t="inlineStr">
        <is>
          <t>머니투데이</t>
        </is>
      </c>
      <c r="E785" t="inlineStr">
        <is>
          <t>김성은</t>
        </is>
      </c>
      <c r="F785" t="inlineStr">
        <is>
          <t>"中시장 제외하면 LG엔솔이 전기차 배터리 점유율 '1위'"</t>
        </is>
      </c>
      <c r="G785" s="2">
        <f>HYPERLINK("http://news.mt.co.kr/mtview.php?no=2021052016331580370", "Go to Website")</f>
        <v/>
      </c>
      <c r="H785" t="inlineStr"/>
      <c r="I785" t="inlineStr">
        <is>
          <t>C26</t>
        </is>
      </c>
      <c r="J785" s="3" t="n">
        <v>0.984</v>
      </c>
      <c r="K785" t="inlineStr">
        <is>
          <t>전자 부품, 컴퓨터, 영상, 음향 및 통신장비 제조업</t>
        </is>
      </c>
      <c r="L785" t="inlineStr"/>
      <c r="M785" t="inlineStr"/>
      <c r="N785" t="inlineStr"/>
    </row>
    <row r="786">
      <c r="A786" s="1" t="inlineStr">
        <is>
          <t>2021-05-20</t>
        </is>
      </c>
      <c r="B786" t="inlineStr">
        <is>
          <t>news</t>
        </is>
      </c>
      <c r="C786" t="inlineStr">
        <is>
          <t>economy</t>
        </is>
      </c>
      <c r="D786" t="inlineStr">
        <is>
          <t>이데일리</t>
        </is>
      </c>
      <c r="E786" t="inlineStr">
        <is>
          <t>손의연</t>
        </is>
      </c>
      <c r="F786" t="inlineStr">
        <is>
          <t>현대차·기아, 유럽시장서 고속질주…4월 판매량 4배↑(종합)</t>
        </is>
      </c>
      <c r="G786" s="2">
        <f>HYPERLINK("http://www.edaily.co.kr/news/newspath.asp?newsid=03476806629050888", "Go to Website")</f>
        <v/>
      </c>
      <c r="H786" t="inlineStr"/>
      <c r="I786" t="inlineStr">
        <is>
          <t>C30</t>
        </is>
      </c>
      <c r="J786" s="3" t="n">
        <v>1</v>
      </c>
      <c r="K786" t="inlineStr">
        <is>
          <t>자동차 및 트레일러 제조업</t>
        </is>
      </c>
      <c r="L786" t="inlineStr"/>
      <c r="M786" t="inlineStr"/>
      <c r="N786" t="inlineStr"/>
    </row>
    <row r="787">
      <c r="A787" s="1" t="inlineStr">
        <is>
          <t>2021-05-20</t>
        </is>
      </c>
      <c r="B787" t="inlineStr">
        <is>
          <t>news</t>
        </is>
      </c>
      <c r="C787" t="inlineStr">
        <is>
          <t>economy</t>
        </is>
      </c>
      <c r="D787" t="inlineStr">
        <is>
          <t>한국경제</t>
        </is>
      </c>
      <c r="E787" t="inlineStr">
        <is>
          <t>강경민</t>
        </is>
      </c>
      <c r="F787" t="inlineStr">
        <is>
          <t>'脫석유' 롯데케미칼, 전기차 소재·수소 모빌리티 투자</t>
        </is>
      </c>
      <c r="G787" s="2">
        <f>HYPERLINK("https://www.hankyung.com/economy/article/2021052026941", "Go to Website")</f>
        <v/>
      </c>
      <c r="H787" t="inlineStr"/>
      <c r="I787" t="inlineStr">
        <is>
          <t>C20</t>
        </is>
      </c>
      <c r="J787" s="3" t="n">
        <v>1</v>
      </c>
      <c r="K787" t="inlineStr">
        <is>
          <t>화학 물질 및 화학제품 제조업; 의약품 제외</t>
        </is>
      </c>
      <c r="L787" t="inlineStr">
        <is>
          <t>1</t>
        </is>
      </c>
      <c r="M787" s="3" t="n">
        <v>0.601</v>
      </c>
      <c r="N787" t="inlineStr">
        <is>
          <t>긍정</t>
        </is>
      </c>
    </row>
    <row r="788">
      <c r="A788" s="1" t="inlineStr">
        <is>
          <t>2021-05-20</t>
        </is>
      </c>
      <c r="B788" t="inlineStr">
        <is>
          <t>news</t>
        </is>
      </c>
      <c r="C788" t="inlineStr">
        <is>
          <t>economy</t>
        </is>
      </c>
      <c r="D788" t="inlineStr">
        <is>
          <t>비즈니스워치</t>
        </is>
      </c>
      <c r="E788" t="inlineStr"/>
      <c r="F788" t="inlineStr">
        <is>
          <t>'최태원 앞장, 삼성 실탄'…미국에 40조+α 투자</t>
        </is>
      </c>
      <c r="G788" s="2">
        <f>HYPERLINK("http://news.bizwatch.co.kr/article/industry/2021/05/20/0027", "Go to Website")</f>
        <v/>
      </c>
      <c r="H788" t="inlineStr"/>
      <c r="I788" t="inlineStr">
        <is>
          <t>A03</t>
        </is>
      </c>
      <c r="J788" s="3" t="n">
        <v>0.59</v>
      </c>
      <c r="K788" t="inlineStr">
        <is>
          <t>어업</t>
        </is>
      </c>
      <c r="L788" t="inlineStr"/>
      <c r="M788" t="inlineStr"/>
      <c r="N788" t="inlineStr"/>
    </row>
    <row r="789">
      <c r="A789" s="1" t="inlineStr">
        <is>
          <t>2021-05-20</t>
        </is>
      </c>
      <c r="B789" t="inlineStr">
        <is>
          <t>news</t>
        </is>
      </c>
      <c r="C789" t="inlineStr">
        <is>
          <t>economy</t>
        </is>
      </c>
      <c r="D789" t="inlineStr">
        <is>
          <t>이데일리</t>
        </is>
      </c>
      <c r="E789" t="inlineStr">
        <is>
          <t>송승현</t>
        </is>
      </c>
      <c r="F789" t="inlineStr">
        <is>
          <t>보조금 소진에 고민 빠진 쌍용차‥전기차 생산 연기 검토</t>
        </is>
      </c>
      <c r="G789" s="2">
        <f>HYPERLINK("http://www.edaily.co.kr/news/newspath.asp?newsid=03463686629050888", "Go to Website")</f>
        <v/>
      </c>
      <c r="H789" t="inlineStr"/>
      <c r="I789" t="inlineStr">
        <is>
          <t>C30</t>
        </is>
      </c>
      <c r="J789" s="3" t="n">
        <v>1</v>
      </c>
      <c r="K789" t="inlineStr">
        <is>
          <t>자동차 및 트레일러 제조업</t>
        </is>
      </c>
      <c r="L789" t="inlineStr">
        <is>
          <t>0</t>
        </is>
      </c>
      <c r="M789" s="3" t="n">
        <v>0.982</v>
      </c>
      <c r="N789" t="inlineStr">
        <is>
          <t>중립</t>
        </is>
      </c>
    </row>
    <row r="790">
      <c r="A790" s="1" t="inlineStr">
        <is>
          <t>2021-05-20</t>
        </is>
      </c>
      <c r="B790" t="inlineStr">
        <is>
          <t>news</t>
        </is>
      </c>
      <c r="C790" t="inlineStr">
        <is>
          <t>economy</t>
        </is>
      </c>
      <c r="D790" t="inlineStr">
        <is>
          <t>스포츠동아</t>
        </is>
      </c>
      <c r="E790" t="inlineStr">
        <is>
          <t>김명근</t>
        </is>
      </c>
      <c r="F790" t="inlineStr">
        <is>
          <t>최태원 ‘광폭행보’…재계 소통창구 역할</t>
        </is>
      </c>
      <c r="G790" s="2">
        <f>HYPERLINK("https://sports.donga.com/article/all/20210520/107033284/2", "Go to Website")</f>
        <v/>
      </c>
      <c r="H790" t="inlineStr"/>
      <c r="I790" t="inlineStr">
        <is>
          <t>C33</t>
        </is>
      </c>
      <c r="J790" s="3" t="n">
        <v>0.355</v>
      </c>
      <c r="K790" t="inlineStr">
        <is>
          <t>기타 제품 제조업</t>
        </is>
      </c>
      <c r="L790" t="inlineStr"/>
      <c r="M790" t="inlineStr"/>
      <c r="N790" t="inlineStr"/>
    </row>
    <row r="791">
      <c r="A791" s="1" t="inlineStr">
        <is>
          <t>2021-05-20</t>
        </is>
      </c>
      <c r="B791" t="inlineStr">
        <is>
          <t>news</t>
        </is>
      </c>
      <c r="C791" t="inlineStr">
        <is>
          <t>economy</t>
        </is>
      </c>
      <c r="D791" t="inlineStr">
        <is>
          <t>뉴시스</t>
        </is>
      </c>
      <c r="E791" t="inlineStr">
        <is>
          <t>박주연</t>
        </is>
      </c>
      <c r="F791" t="inlineStr">
        <is>
          <t>아우디, 순수 전기차 e-트론 GT·RS e-트론 GT 공개</t>
        </is>
      </c>
      <c r="G791" s="2">
        <f>HYPERLINK("http://www.newsis.com/view/?id=NISX20210520_0001447752&amp;cID=13001&amp;pID=13000", "Go to Website")</f>
        <v/>
      </c>
      <c r="H791" t="inlineStr"/>
      <c r="I791" t="inlineStr">
        <is>
          <t>C26</t>
        </is>
      </c>
      <c r="J791" s="3" t="n">
        <v>0.576</v>
      </c>
      <c r="K791" t="inlineStr">
        <is>
          <t>전자 부품, 컴퓨터, 영상, 음향 및 통신장비 제조업</t>
        </is>
      </c>
      <c r="L791" t="inlineStr">
        <is>
          <t>1</t>
        </is>
      </c>
      <c r="M791" s="3" t="n">
        <v>0.994</v>
      </c>
      <c r="N791" t="inlineStr">
        <is>
          <t>긍정</t>
        </is>
      </c>
    </row>
    <row r="792">
      <c r="A792" s="1" t="inlineStr">
        <is>
          <t>2021-05-20</t>
        </is>
      </c>
      <c r="B792" t="inlineStr">
        <is>
          <t>news</t>
        </is>
      </c>
      <c r="C792" t="inlineStr">
        <is>
          <t>economy</t>
        </is>
      </c>
      <c r="D792" t="inlineStr">
        <is>
          <t>파이낸셜뉴스</t>
        </is>
      </c>
      <c r="E792" t="inlineStr">
        <is>
          <t>김영권</t>
        </is>
      </c>
      <c r="F792" t="inlineStr">
        <is>
          <t>'생산능력 극대화' 나선 배터리 양극재 기업들</t>
        </is>
      </c>
      <c r="G792" s="2">
        <f>HYPERLINK("http://www.fnnews.com/news/202105201458073419", "Go to Website")</f>
        <v/>
      </c>
      <c r="H792" t="inlineStr"/>
      <c r="I792" t="inlineStr">
        <is>
          <t>C28</t>
        </is>
      </c>
      <c r="J792" s="3" t="n">
        <v>0.599</v>
      </c>
      <c r="K792" t="inlineStr">
        <is>
          <t>전기장비 제조업</t>
        </is>
      </c>
      <c r="L792" t="inlineStr"/>
      <c r="M792" t="inlineStr"/>
      <c r="N792" t="inlineStr"/>
    </row>
    <row r="793">
      <c r="A793" s="1" t="inlineStr">
        <is>
          <t>2021-05-20</t>
        </is>
      </c>
      <c r="B793" t="inlineStr">
        <is>
          <t>news</t>
        </is>
      </c>
      <c r="C793" t="inlineStr">
        <is>
          <t>tech</t>
        </is>
      </c>
      <c r="D793" t="inlineStr">
        <is>
          <t>전자신문</t>
        </is>
      </c>
      <c r="E793" t="inlineStr">
        <is>
          <t>김지웅</t>
        </is>
      </c>
      <c r="F793" t="inlineStr">
        <is>
          <t>[기자수첩]LFP 배터리 특허 만료의 시사점</t>
        </is>
      </c>
      <c r="G793" s="2">
        <f>HYPERLINK("http://www.etnews.com/20210520000231", "Go to Website")</f>
        <v/>
      </c>
      <c r="H793" t="inlineStr"/>
      <c r="I793" t="inlineStr"/>
      <c r="J793" t="inlineStr"/>
      <c r="K793" t="inlineStr"/>
      <c r="L793" t="inlineStr"/>
      <c r="M793" t="inlineStr"/>
      <c r="N793" t="inlineStr"/>
    </row>
    <row r="794">
      <c r="A794" s="1" t="inlineStr">
        <is>
          <t>2021-05-20</t>
        </is>
      </c>
      <c r="B794" t="inlineStr">
        <is>
          <t>news</t>
        </is>
      </c>
      <c r="C794" t="inlineStr">
        <is>
          <t>economy</t>
        </is>
      </c>
      <c r="D794" t="inlineStr">
        <is>
          <t>조선비즈</t>
        </is>
      </c>
      <c r="E794" t="inlineStr">
        <is>
          <t>권유정</t>
        </is>
      </c>
      <c r="F794" t="inlineStr">
        <is>
          <t>[마켓뷰] 코스피, 0.3% 하락 마감…테이퍼링 첫 언급 여파</t>
        </is>
      </c>
      <c r="G794" s="2">
        <f>HYPERLINK("https://biz.chosun.com/stock/market_trend/2021/05/20/CG2CW2YKARCIRCE7HBRPMPUFXI/?utm_medium=original&amp;utm_campaign=biz", "Go to Website")</f>
        <v/>
      </c>
      <c r="H794" t="inlineStr"/>
      <c r="I794" t="inlineStr">
        <is>
          <t>100</t>
        </is>
      </c>
      <c r="J794" s="3" t="n">
        <v>0.972</v>
      </c>
      <c r="K794" t="inlineStr">
        <is>
          <t>분류 제외, 기타</t>
        </is>
      </c>
      <c r="L794" t="inlineStr"/>
      <c r="M794" t="inlineStr"/>
      <c r="N794" t="inlineStr"/>
    </row>
    <row r="795">
      <c r="A795" s="1" t="inlineStr">
        <is>
          <t>2021-05-20</t>
        </is>
      </c>
      <c r="B795" t="inlineStr">
        <is>
          <t>news</t>
        </is>
      </c>
      <c r="C795" t="inlineStr">
        <is>
          <t>economy</t>
        </is>
      </c>
      <c r="D795" t="inlineStr">
        <is>
          <t>한겨레</t>
        </is>
      </c>
      <c r="E795" t="inlineStr">
        <is>
          <t>박종오</t>
        </is>
      </c>
      <c r="F795" t="inlineStr">
        <is>
          <t>포스코·롯데, 전기차 배터리 소재 투자 확대</t>
        </is>
      </c>
      <c r="G795" s="2">
        <f>HYPERLINK("http://www.hani.co.kr/arti/economy/marketing/995988.html", "Go to Website")</f>
        <v/>
      </c>
      <c r="H795" t="inlineStr"/>
      <c r="I795" t="inlineStr">
        <is>
          <t>C24</t>
        </is>
      </c>
      <c r="J795" s="3" t="n">
        <v>0.663</v>
      </c>
      <c r="K795" t="inlineStr">
        <is>
          <t>1차 금속 제조업</t>
        </is>
      </c>
      <c r="L795" t="inlineStr"/>
      <c r="M795" t="inlineStr"/>
      <c r="N795" t="inlineStr"/>
    </row>
    <row r="796">
      <c r="A796" s="1" t="inlineStr">
        <is>
          <t>2021-05-20</t>
        </is>
      </c>
      <c r="B796" t="inlineStr">
        <is>
          <t>news</t>
        </is>
      </c>
      <c r="C796" t="inlineStr">
        <is>
          <t>economy</t>
        </is>
      </c>
      <c r="D796" t="inlineStr">
        <is>
          <t>조세일보</t>
        </is>
      </c>
      <c r="E796" t="inlineStr"/>
      <c r="F796" t="inlineStr">
        <is>
          <t>포스코, 호주 이차전지용 니켈 광산회사 지분 인수…2700억원 투입</t>
        </is>
      </c>
      <c r="G796" s="2">
        <f>HYPERLINK("http://www.joseilbo.com/news/news_read.php?uid=424078&amp;class=17", "Go to Website")</f>
        <v/>
      </c>
      <c r="H796" t="inlineStr"/>
      <c r="I796" t="inlineStr">
        <is>
          <t>C24</t>
        </is>
      </c>
      <c r="J796" s="3" t="n">
        <v>1</v>
      </c>
      <c r="K796" t="inlineStr">
        <is>
          <t>1차 금속 제조업</t>
        </is>
      </c>
      <c r="L796" t="inlineStr">
        <is>
          <t>1</t>
        </is>
      </c>
      <c r="M796" s="3" t="n">
        <v>0.424</v>
      </c>
      <c r="N796" t="inlineStr">
        <is>
          <t>긍정</t>
        </is>
      </c>
    </row>
    <row r="797">
      <c r="A797" s="1" t="inlineStr">
        <is>
          <t>2021-05-20</t>
        </is>
      </c>
      <c r="B797" t="inlineStr">
        <is>
          <t>news</t>
        </is>
      </c>
      <c r="C797" t="inlineStr">
        <is>
          <t>economy</t>
        </is>
      </c>
      <c r="D797" t="inlineStr">
        <is>
          <t>서울경제</t>
        </is>
      </c>
      <c r="E797" t="inlineStr">
        <is>
          <t>심우일</t>
        </is>
      </c>
      <c r="F797" t="inlineStr">
        <is>
          <t>장 중 기업공시[5월 20일]</t>
        </is>
      </c>
      <c r="G797" s="2">
        <f>HYPERLINK("https://www.sedaily.com/NewsView/22MFNC6N84", "Go to Website")</f>
        <v/>
      </c>
      <c r="H797" t="inlineStr"/>
      <c r="I797" t="inlineStr">
        <is>
          <t>C20</t>
        </is>
      </c>
      <c r="J797" s="3" t="n">
        <v>0.9409999999999999</v>
      </c>
      <c r="K797" t="inlineStr">
        <is>
          <t>화학 물질 및 화학제품 제조업; 의약품 제외</t>
        </is>
      </c>
      <c r="L797" t="inlineStr"/>
      <c r="M797" t="inlineStr"/>
      <c r="N797" t="inlineStr"/>
    </row>
    <row r="798">
      <c r="A798" s="1" t="inlineStr">
        <is>
          <t>2021-05-20</t>
        </is>
      </c>
      <c r="B798" t="inlineStr">
        <is>
          <t>news</t>
        </is>
      </c>
      <c r="C798" t="inlineStr">
        <is>
          <t>economy</t>
        </is>
      </c>
      <c r="D798" t="inlineStr">
        <is>
          <t>뉴스1</t>
        </is>
      </c>
      <c r="E798" t="inlineStr">
        <is>
          <t>유승훈</t>
        </is>
      </c>
      <c r="F798" t="inlineStr">
        <is>
          <t>전북도-정책기획위원회, ‘한국판 뉴딜 경청·공감 대토론회’ 개최</t>
        </is>
      </c>
      <c r="G798" s="2">
        <f>HYPERLINK("https://www.news1.kr/articles/?4312664", "Go to Website")</f>
        <v/>
      </c>
      <c r="H798" t="inlineStr"/>
      <c r="I798" t="inlineStr">
        <is>
          <t>K65</t>
        </is>
      </c>
      <c r="J798" s="3" t="n">
        <v>0.982</v>
      </c>
      <c r="K798" t="inlineStr">
        <is>
          <t>보험 및 연금업</t>
        </is>
      </c>
      <c r="L798" t="inlineStr"/>
      <c r="M798" t="inlineStr"/>
      <c r="N798" t="inlineStr"/>
    </row>
    <row r="799">
      <c r="A799" s="1" t="inlineStr">
        <is>
          <t>2021-05-20</t>
        </is>
      </c>
      <c r="B799" t="inlineStr">
        <is>
          <t>news</t>
        </is>
      </c>
      <c r="C799" t="inlineStr">
        <is>
          <t>economy</t>
        </is>
      </c>
      <c r="D799" t="inlineStr">
        <is>
          <t>뉴시스</t>
        </is>
      </c>
      <c r="E799" t="inlineStr">
        <is>
          <t>정윤아</t>
        </is>
      </c>
      <c r="F799" t="inlineStr">
        <is>
          <t>LG에너지솔루션, 중국 제외 전기차 배터리 시장에서 1위</t>
        </is>
      </c>
      <c r="G799" s="2">
        <f>HYPERLINK("http://www.newsis.com/view/?id=NISX20210520_0001447713&amp;cID=13001&amp;pID=13000", "Go to Website")</f>
        <v/>
      </c>
      <c r="H799" t="inlineStr"/>
      <c r="I799" t="inlineStr">
        <is>
          <t>C28</t>
        </is>
      </c>
      <c r="J799" s="3" t="n">
        <v>0.409</v>
      </c>
      <c r="K799" t="inlineStr">
        <is>
          <t>전기장비 제조업</t>
        </is>
      </c>
      <c r="L799" t="inlineStr"/>
      <c r="M799" t="inlineStr"/>
      <c r="N799" t="inlineStr"/>
    </row>
    <row r="800">
      <c r="A800" s="1" t="inlineStr">
        <is>
          <t>2021-05-20</t>
        </is>
      </c>
      <c r="B800" t="inlineStr">
        <is>
          <t>news</t>
        </is>
      </c>
      <c r="C800" t="inlineStr">
        <is>
          <t>tech</t>
        </is>
      </c>
      <c r="D800" t="inlineStr">
        <is>
          <t>파이낸셜뉴스</t>
        </is>
      </c>
      <c r="E800" t="inlineStr"/>
      <c r="F800" t="inlineStr">
        <is>
          <t>자동차관리 종합 서비스 플랫폼 ‘프롬카’, 정비소 연결부터 매매까지 다양한 서비스 제공</t>
        </is>
      </c>
      <c r="G800" s="2">
        <f>HYPERLINK("http://www.fnnews.com/news/202105201600540792", "Go to Website")</f>
        <v/>
      </c>
      <c r="H800" t="inlineStr"/>
      <c r="I800" t="inlineStr"/>
      <c r="J800" t="inlineStr"/>
      <c r="K800" t="inlineStr"/>
      <c r="L800" t="inlineStr"/>
      <c r="M800" t="inlineStr"/>
      <c r="N800" t="inlineStr"/>
    </row>
    <row r="801">
      <c r="A801" s="1" t="inlineStr">
        <is>
          <t>2021-05-20</t>
        </is>
      </c>
      <c r="B801" t="inlineStr">
        <is>
          <t>news</t>
        </is>
      </c>
      <c r="C801" t="inlineStr">
        <is>
          <t>economy</t>
        </is>
      </c>
      <c r="D801" t="inlineStr">
        <is>
          <t>파이낸셜뉴스</t>
        </is>
      </c>
      <c r="E801" t="inlineStr">
        <is>
          <t>최종근</t>
        </is>
      </c>
      <c r="F801" t="inlineStr">
        <is>
          <t>올들어 친환경차 판매 10만대 육박</t>
        </is>
      </c>
      <c r="G801" s="2">
        <f>HYPERLINK("http://www.fnnews.com/news/202105201531580405", "Go to Website")</f>
        <v/>
      </c>
      <c r="H801" t="inlineStr"/>
      <c r="I801" t="inlineStr">
        <is>
          <t>C30</t>
        </is>
      </c>
      <c r="J801" s="3" t="n">
        <v>0.915</v>
      </c>
      <c r="K801" t="inlineStr">
        <is>
          <t>자동차 및 트레일러 제조업</t>
        </is>
      </c>
      <c r="L801" t="inlineStr"/>
      <c r="M801" t="inlineStr"/>
      <c r="N801" t="inlineStr"/>
    </row>
    <row r="802">
      <c r="A802" s="1" t="inlineStr">
        <is>
          <t>2021-05-20</t>
        </is>
      </c>
      <c r="B802" t="inlineStr">
        <is>
          <t>news</t>
        </is>
      </c>
      <c r="C802" t="inlineStr">
        <is>
          <t>economy</t>
        </is>
      </c>
      <c r="D802" t="inlineStr">
        <is>
          <t>더팩트</t>
        </is>
      </c>
      <c r="E802" t="inlineStr"/>
      <c r="F802" t="inlineStr">
        <is>
          <t>신한금융, 2030년까지 업무용 車 6만여대 무공해차로 교체</t>
        </is>
      </c>
      <c r="G802" s="2">
        <f>HYPERLINK("http://news.tf.co.kr/read/economy/1862323.htm", "Go to Website")</f>
        <v/>
      </c>
      <c r="H802" t="inlineStr"/>
      <c r="I802" t="inlineStr">
        <is>
          <t>C28</t>
        </is>
      </c>
      <c r="J802" s="3" t="n">
        <v>0.986</v>
      </c>
      <c r="K802" t="inlineStr">
        <is>
          <t>전기장비 제조업</t>
        </is>
      </c>
      <c r="L802" t="inlineStr">
        <is>
          <t>0</t>
        </is>
      </c>
      <c r="M802" s="3" t="n">
        <v>0.989</v>
      </c>
      <c r="N802" t="inlineStr">
        <is>
          <t>중립</t>
        </is>
      </c>
    </row>
    <row r="803">
      <c r="A803" s="1" t="inlineStr">
        <is>
          <t>2021-05-20</t>
        </is>
      </c>
      <c r="B803" t="inlineStr">
        <is>
          <t>news</t>
        </is>
      </c>
      <c r="C803" t="inlineStr">
        <is>
          <t>economy</t>
        </is>
      </c>
      <c r="D803" t="inlineStr">
        <is>
          <t>SBS Biz</t>
        </is>
      </c>
      <c r="E803" t="inlineStr">
        <is>
          <t>김정연</t>
        </is>
      </c>
      <c r="F803" t="inlineStr">
        <is>
          <t>롯데케미칼, 전기차 배터리 소재 사업 박차…2100억원 투자</t>
        </is>
      </c>
      <c r="G803" s="2">
        <f>HYPERLINK("https://biz.sbs.co.kr/article_hub/20000016179", "Go to Website")</f>
        <v/>
      </c>
      <c r="H803" t="inlineStr"/>
      <c r="I803" t="inlineStr">
        <is>
          <t>C20</t>
        </is>
      </c>
      <c r="J803" s="3" t="n">
        <v>0.996</v>
      </c>
      <c r="K803" t="inlineStr">
        <is>
          <t>화학 물질 및 화학제품 제조업; 의약품 제외</t>
        </is>
      </c>
      <c r="L803" t="inlineStr">
        <is>
          <t>1</t>
        </is>
      </c>
      <c r="M803" s="3" t="n">
        <v>0.924</v>
      </c>
      <c r="N803" t="inlineStr">
        <is>
          <t>긍정</t>
        </is>
      </c>
    </row>
    <row r="804">
      <c r="A804" s="1" t="inlineStr">
        <is>
          <t>2021-05-20</t>
        </is>
      </c>
      <c r="B804" t="inlineStr">
        <is>
          <t>news</t>
        </is>
      </c>
      <c r="C804" t="inlineStr">
        <is>
          <t>tech</t>
        </is>
      </c>
      <c r="D804" t="inlineStr">
        <is>
          <t>조선비즈</t>
        </is>
      </c>
      <c r="E804" t="inlineStr">
        <is>
          <t>윤진우</t>
        </is>
      </c>
      <c r="F804" t="inlineStr">
        <is>
          <t>‘제대로 물 들어왔다’는 LG전자 전장ᄉ …</t>
        </is>
      </c>
      <c r="G804" s="2">
        <f>HYPERLINK("https://biz.chosun.com/it-science/ict/2021/05/20/SMSD5MXAAZFQLBBB7IOR523UZ4/?utm_medium=original&amp;utm_campaign=biz", "Go to Website")</f>
        <v/>
      </c>
      <c r="H804" t="inlineStr"/>
      <c r="I804" t="inlineStr"/>
      <c r="J804" t="inlineStr"/>
      <c r="K804" t="inlineStr"/>
      <c r="L804" t="inlineStr"/>
      <c r="M804" t="inlineStr"/>
      <c r="N804" t="inlineStr"/>
    </row>
    <row r="805">
      <c r="A805" s="1" t="inlineStr">
        <is>
          <t>2021-05-20</t>
        </is>
      </c>
      <c r="B805" t="inlineStr">
        <is>
          <t>news</t>
        </is>
      </c>
      <c r="C805" t="inlineStr">
        <is>
          <t>economy</t>
        </is>
      </c>
      <c r="D805" t="inlineStr">
        <is>
          <t>한경비즈니스</t>
        </is>
      </c>
      <c r="E805" t="inlineStr">
        <is>
          <t>최은석</t>
        </is>
      </c>
      <c r="F805" t="inlineStr">
        <is>
          <t>포스코, 호주 니켈 광산 회사 지분 30% 인수</t>
        </is>
      </c>
      <c r="G805" s="2">
        <f>HYPERLINK("https://magazine.hankyung.com/business/article/202105202377b", "Go to Website")</f>
        <v/>
      </c>
      <c r="H805" t="inlineStr"/>
      <c r="I805" t="inlineStr">
        <is>
          <t>C24</t>
        </is>
      </c>
      <c r="J805" s="3" t="n">
        <v>1</v>
      </c>
      <c r="K805" t="inlineStr">
        <is>
          <t>1차 금속 제조업</t>
        </is>
      </c>
      <c r="L805" t="inlineStr">
        <is>
          <t>0</t>
        </is>
      </c>
      <c r="M805" s="3" t="n">
        <v>0.745</v>
      </c>
      <c r="N805" t="inlineStr">
        <is>
          <t>중립</t>
        </is>
      </c>
    </row>
    <row r="806">
      <c r="A806" s="1" t="inlineStr">
        <is>
          <t>2021-05-20</t>
        </is>
      </c>
      <c r="B806" t="inlineStr">
        <is>
          <t>news</t>
        </is>
      </c>
      <c r="C806" t="inlineStr">
        <is>
          <t>economy</t>
        </is>
      </c>
      <c r="D806" t="inlineStr">
        <is>
          <t>뉴시스</t>
        </is>
      </c>
      <c r="E806" t="inlineStr">
        <is>
          <t>박주연</t>
        </is>
      </c>
      <c r="F806" t="inlineStr">
        <is>
          <t>람보르기니, 4년간 15억 유로 투자해 탄소배출량 50% 절감</t>
        </is>
      </c>
      <c r="G806" s="2">
        <f>HYPERLINK("http://www.newsis.com/view/?id=NISX20210520_0001447687&amp;cID=13001&amp;pID=13000", "Go to Website")</f>
        <v/>
      </c>
      <c r="H806" t="inlineStr"/>
      <c r="I806" t="inlineStr">
        <is>
          <t>C30</t>
        </is>
      </c>
      <c r="J806" s="3" t="n">
        <v>0.949</v>
      </c>
      <c r="K806" t="inlineStr">
        <is>
          <t>자동차 및 트레일러 제조업</t>
        </is>
      </c>
      <c r="L806" t="inlineStr"/>
      <c r="M806" t="inlineStr"/>
      <c r="N806" t="inlineStr"/>
    </row>
    <row r="807">
      <c r="A807" s="1" t="inlineStr">
        <is>
          <t>2021-05-20</t>
        </is>
      </c>
      <c r="B807" t="inlineStr">
        <is>
          <t>news</t>
        </is>
      </c>
      <c r="C807" t="inlineStr">
        <is>
          <t>economy</t>
        </is>
      </c>
      <c r="D807" t="inlineStr">
        <is>
          <t>한국경제TV</t>
        </is>
      </c>
      <c r="E807" t="inlineStr">
        <is>
          <t>송민화</t>
        </is>
      </c>
      <c r="F807" t="inlineStr">
        <is>
          <t>롯데케미칼, 배터리 소재 생산시설 건설…"2,100억원 투자"</t>
        </is>
      </c>
      <c r="G807" s="2">
        <f>HYPERLINK("http://www.wowtv.co.kr/NewsCenter/News/Read?articleId=A202105200296&amp;t=NN", "Go to Website")</f>
        <v/>
      </c>
      <c r="H807" t="inlineStr"/>
      <c r="I807" t="inlineStr">
        <is>
          <t>C20</t>
        </is>
      </c>
      <c r="J807" s="3" t="n">
        <v>1</v>
      </c>
      <c r="K807" t="inlineStr">
        <is>
          <t>화학 물질 및 화학제품 제조업; 의약품 제외</t>
        </is>
      </c>
      <c r="L807" t="inlineStr">
        <is>
          <t>1</t>
        </is>
      </c>
      <c r="M807" s="3" t="n">
        <v>0.922</v>
      </c>
      <c r="N807" t="inlineStr">
        <is>
          <t>긍정</t>
        </is>
      </c>
    </row>
    <row r="808">
      <c r="A808" s="1" t="inlineStr">
        <is>
          <t>2021-05-20</t>
        </is>
      </c>
      <c r="B808" t="inlineStr">
        <is>
          <t>news</t>
        </is>
      </c>
      <c r="C808" t="inlineStr">
        <is>
          <t>economy</t>
        </is>
      </c>
      <c r="D808" t="inlineStr">
        <is>
          <t>한국경제TV</t>
        </is>
      </c>
      <c r="E808" t="inlineStr">
        <is>
          <t>임원식</t>
        </is>
      </c>
      <c r="F808" t="inlineStr">
        <is>
          <t>'아이언맨 전기차' 아우디 'e트론 GT' 국내 첫 선</t>
        </is>
      </c>
      <c r="G808" s="2">
        <f>HYPERLINK("http://www.wowtv.co.kr/NewsCenter/News/Read?articleId=A202105200324&amp;t=NN", "Go to Website")</f>
        <v/>
      </c>
      <c r="H808" t="inlineStr"/>
      <c r="I808" t="inlineStr">
        <is>
          <t>C29</t>
        </is>
      </c>
      <c r="J808" s="3" t="n">
        <v>0.499</v>
      </c>
      <c r="K808" t="inlineStr">
        <is>
          <t>기타 기계 및 장비 제조업</t>
        </is>
      </c>
      <c r="L808" t="inlineStr">
        <is>
          <t>1</t>
        </is>
      </c>
      <c r="M808" s="3" t="n">
        <v>0.911</v>
      </c>
      <c r="N808" t="inlineStr">
        <is>
          <t>긍정</t>
        </is>
      </c>
    </row>
    <row r="809">
      <c r="A809" s="1" t="inlineStr">
        <is>
          <t>2021-05-20</t>
        </is>
      </c>
      <c r="B809" t="inlineStr">
        <is>
          <t>news</t>
        </is>
      </c>
      <c r="C809" t="inlineStr">
        <is>
          <t>economy</t>
        </is>
      </c>
      <c r="D809" t="inlineStr">
        <is>
          <t>YTN</t>
        </is>
      </c>
      <c r="E809" t="inlineStr"/>
      <c r="F809" t="inlineStr">
        <is>
          <t>[기업] 아우디 순수 전기차 'e-트론 GT' 공개...연내 국내 출시</t>
        </is>
      </c>
      <c r="G809" s="2">
        <f>HYPERLINK("https://www.ytn.co.kr/_ln/0102_202105201605224057", "Go to Website")</f>
        <v/>
      </c>
      <c r="H809" t="inlineStr"/>
      <c r="I809" t="inlineStr">
        <is>
          <t>100</t>
        </is>
      </c>
      <c r="J809" s="3" t="n">
        <v>0.988</v>
      </c>
      <c r="K809" t="inlineStr">
        <is>
          <t>분류 제외, 기타</t>
        </is>
      </c>
      <c r="L809" t="inlineStr"/>
      <c r="M809" t="inlineStr"/>
      <c r="N809" t="inlineStr"/>
    </row>
    <row r="810">
      <c r="A810" s="1" t="inlineStr">
        <is>
          <t>2021-05-20</t>
        </is>
      </c>
      <c r="B810" t="inlineStr">
        <is>
          <t>news</t>
        </is>
      </c>
      <c r="C810" t="inlineStr">
        <is>
          <t>economy</t>
        </is>
      </c>
      <c r="D810" t="inlineStr">
        <is>
          <t>머니S</t>
        </is>
      </c>
      <c r="E810" t="inlineStr">
        <is>
          <t>강한빛</t>
        </is>
      </c>
      <c r="F810" t="inlineStr">
        <is>
          <t>세람저축은행, '착한운전 정기적금' 출시… "ESG경영 일환"</t>
        </is>
      </c>
      <c r="G810" s="2">
        <f>HYPERLINK("http://moneys.mt.co.kr/news/mwView.php?no=2021052015538083751", "Go to Website")</f>
        <v/>
      </c>
      <c r="H810" t="inlineStr"/>
      <c r="I810" t="inlineStr">
        <is>
          <t>K64</t>
        </is>
      </c>
      <c r="J810" s="3" t="n">
        <v>1</v>
      </c>
      <c r="K810" t="inlineStr">
        <is>
          <t>금융업</t>
        </is>
      </c>
      <c r="L810" t="inlineStr"/>
      <c r="M810" t="inlineStr"/>
      <c r="N810" t="inlineStr"/>
    </row>
    <row r="811">
      <c r="A811" s="1" t="inlineStr">
        <is>
          <t>2021-05-20</t>
        </is>
      </c>
      <c r="B811" t="inlineStr">
        <is>
          <t>news</t>
        </is>
      </c>
      <c r="C811" t="inlineStr">
        <is>
          <t>economy</t>
        </is>
      </c>
      <c r="D811" t="inlineStr">
        <is>
          <t>아시아경제</t>
        </is>
      </c>
      <c r="E811" t="inlineStr">
        <is>
          <t>이동우</t>
        </is>
      </c>
      <c r="F811" t="inlineStr">
        <is>
          <t>한국공항공사, 'UAM 클러스터 구축 포럼' 개최</t>
        </is>
      </c>
      <c r="G811" s="2">
        <f>HYPERLINK("https://view.asiae.co.kr/article/2021052016041343795", "Go to Website")</f>
        <v/>
      </c>
      <c r="H811" t="inlineStr"/>
      <c r="I811" t="inlineStr">
        <is>
          <t>H52</t>
        </is>
      </c>
      <c r="J811" s="3" t="n">
        <v>0.986</v>
      </c>
      <c r="K811" t="inlineStr">
        <is>
          <t>창고 및 운송관련 서비스업</t>
        </is>
      </c>
      <c r="L811" t="inlineStr"/>
      <c r="M811" t="inlineStr"/>
      <c r="N811" t="inlineStr"/>
    </row>
    <row r="812">
      <c r="A812" s="1" t="inlineStr">
        <is>
          <t>2021-05-20</t>
        </is>
      </c>
      <c r="B812" t="inlineStr">
        <is>
          <t>news</t>
        </is>
      </c>
      <c r="C812" t="inlineStr">
        <is>
          <t>tech</t>
        </is>
      </c>
      <c r="D812" t="inlineStr">
        <is>
          <t>전자신문</t>
        </is>
      </c>
      <c r="E812" t="inlineStr">
        <is>
          <t>김지웅</t>
        </is>
      </c>
      <c r="F812" t="inlineStr">
        <is>
          <t>'삼성SDI-BMW' 'SK이노-포드' 합작사 추진…K-배터리, 완성차와 혈맹 강화</t>
        </is>
      </c>
      <c r="G812" s="2">
        <f>HYPERLINK("http://www.etnews.com/20210520000224", "Go to Website")</f>
        <v/>
      </c>
      <c r="H812" t="inlineStr"/>
      <c r="I812" t="inlineStr"/>
      <c r="J812" t="inlineStr"/>
      <c r="K812" t="inlineStr"/>
      <c r="L812" t="inlineStr"/>
      <c r="M812" t="inlineStr"/>
      <c r="N812" t="inlineStr"/>
    </row>
    <row r="813">
      <c r="A813" s="1" t="inlineStr">
        <is>
          <t>2021-05-20</t>
        </is>
      </c>
      <c r="B813" t="inlineStr">
        <is>
          <t>news</t>
        </is>
      </c>
      <c r="C813" t="inlineStr">
        <is>
          <t>economy</t>
        </is>
      </c>
      <c r="D813" t="inlineStr">
        <is>
          <t>이데일리</t>
        </is>
      </c>
      <c r="E813" t="inlineStr">
        <is>
          <t>김영수</t>
        </is>
      </c>
      <c r="F813" t="inlineStr">
        <is>
          <t>미국서 40조 투자 발표하는 4대 그룹…한미 경제 동맹 강화 나선다</t>
        </is>
      </c>
      <c r="G813" s="2">
        <f>HYPERLINK("http://www.edaily.co.kr/news/newspath.asp?newsid=03394806629050888", "Go to Website")</f>
        <v/>
      </c>
      <c r="H813" t="inlineStr"/>
      <c r="I813" t="inlineStr">
        <is>
          <t>C26</t>
        </is>
      </c>
      <c r="J813" s="3" t="n">
        <v>0.62</v>
      </c>
      <c r="K813" t="inlineStr">
        <is>
          <t>전자 부품, 컴퓨터, 영상, 음향 및 통신장비 제조업</t>
        </is>
      </c>
      <c r="L813" t="inlineStr"/>
      <c r="M813" t="inlineStr"/>
      <c r="N813" t="inlineStr"/>
    </row>
    <row r="814">
      <c r="A814" s="1" t="inlineStr">
        <is>
          <t>2021-05-20</t>
        </is>
      </c>
      <c r="B814" t="inlineStr">
        <is>
          <t>news</t>
        </is>
      </c>
      <c r="C814" t="inlineStr">
        <is>
          <t>economy</t>
        </is>
      </c>
      <c r="D814" t="inlineStr">
        <is>
          <t>한국경제</t>
        </is>
      </c>
      <c r="E814" t="inlineStr">
        <is>
          <t>한경닷컴</t>
        </is>
      </c>
      <c r="F814" t="inlineStr">
        <is>
          <t>현대차·기아, 본고장 유럽서 '대박'…BMW도 제쳤다</t>
        </is>
      </c>
      <c r="G814" s="2">
        <f>HYPERLINK("https://www.hankyung.com/economy/article/202105202219g", "Go to Website")</f>
        <v/>
      </c>
      <c r="H814" t="inlineStr"/>
      <c r="I814" t="inlineStr">
        <is>
          <t>C30</t>
        </is>
      </c>
      <c r="J814" s="3" t="n">
        <v>0.88</v>
      </c>
      <c r="K814" t="inlineStr">
        <is>
          <t>자동차 및 트레일러 제조업</t>
        </is>
      </c>
      <c r="L814" t="inlineStr"/>
      <c r="M814" t="inlineStr"/>
      <c r="N814" t="inlineStr"/>
    </row>
    <row r="815">
      <c r="A815" s="1" t="inlineStr">
        <is>
          <t>2021-05-20</t>
        </is>
      </c>
      <c r="B815" t="inlineStr">
        <is>
          <t>news</t>
        </is>
      </c>
      <c r="C815" t="inlineStr">
        <is>
          <t>economy</t>
        </is>
      </c>
      <c r="D815" t="inlineStr">
        <is>
          <t>디지털타임스</t>
        </is>
      </c>
      <c r="E815" t="inlineStr">
        <is>
          <t>김위수</t>
        </is>
      </c>
      <c r="F815" t="inlineStr">
        <is>
          <t>최태원 `50억 달러+α` 투자 주목…SK이노·포드 합작사 설립 현실로</t>
        </is>
      </c>
      <c r="G815" s="2">
        <f>HYPERLINK("http://www.dt.co.kr/contents.html?article_no=2021052002109932033007", "Go to Website")</f>
        <v/>
      </c>
      <c r="H815" t="inlineStr"/>
      <c r="I815" t="inlineStr">
        <is>
          <t>K64</t>
        </is>
      </c>
      <c r="J815" s="3" t="n">
        <v>0.829</v>
      </c>
      <c r="K815" t="inlineStr">
        <is>
          <t>금융업</t>
        </is>
      </c>
      <c r="L815" t="inlineStr"/>
      <c r="M815" t="inlineStr"/>
      <c r="N815" t="inlineStr"/>
    </row>
    <row r="816">
      <c r="A816" s="1" t="inlineStr">
        <is>
          <t>2021-05-20</t>
        </is>
      </c>
      <c r="B816" t="inlineStr">
        <is>
          <t>news</t>
        </is>
      </c>
      <c r="C816" t="inlineStr">
        <is>
          <t>economy</t>
        </is>
      </c>
      <c r="D816" t="inlineStr">
        <is>
          <t>SBS Biz</t>
        </is>
      </c>
      <c r="E816" t="inlineStr">
        <is>
          <t>김날해</t>
        </is>
      </c>
      <c r="F816" t="inlineStr">
        <is>
          <t>[집중진단] 경제 외교나선 4대그룹 美에 40조 투자…현대 노조는 투자 ‘반대’</t>
        </is>
      </c>
      <c r="G816" s="2">
        <f>HYPERLINK("https://biz.sbs.co.kr/article_hub/20000016171", "Go to Website")</f>
        <v/>
      </c>
      <c r="H816" t="inlineStr"/>
      <c r="I816" t="inlineStr">
        <is>
          <t>K64</t>
        </is>
      </c>
      <c r="J816" s="3" t="n">
        <v>0.997</v>
      </c>
      <c r="K816" t="inlineStr">
        <is>
          <t>금융업</t>
        </is>
      </c>
      <c r="L816" t="inlineStr"/>
      <c r="M816" t="inlineStr"/>
      <c r="N816" t="inlineStr"/>
    </row>
    <row r="817">
      <c r="A817" s="1" t="inlineStr">
        <is>
          <t>2021-05-20</t>
        </is>
      </c>
      <c r="B817" t="inlineStr">
        <is>
          <t>news</t>
        </is>
      </c>
      <c r="C817" t="inlineStr">
        <is>
          <t>economy</t>
        </is>
      </c>
      <c r="D817" t="inlineStr">
        <is>
          <t>파이낸셜뉴스</t>
        </is>
      </c>
      <c r="E817" t="inlineStr">
        <is>
          <t>최두선</t>
        </is>
      </c>
      <c r="F817" t="inlineStr">
        <is>
          <t>한미 정상회담 수혜 기대...무르익는 백신 기대감</t>
        </is>
      </c>
      <c r="G817" s="2">
        <f>HYPERLINK("http://www.fnnews.com/news/202105201412399569", "Go to Website")</f>
        <v/>
      </c>
      <c r="H817" t="inlineStr"/>
      <c r="I817" t="inlineStr">
        <is>
          <t>C21</t>
        </is>
      </c>
      <c r="J817" s="3" t="n">
        <v>0.99</v>
      </c>
      <c r="K817" t="inlineStr">
        <is>
          <t>의료용 물질 및 의약품 제조업</t>
        </is>
      </c>
      <c r="L817" t="inlineStr"/>
      <c r="M817" t="inlineStr"/>
      <c r="N817" t="inlineStr"/>
    </row>
    <row r="818">
      <c r="A818" s="1" t="inlineStr">
        <is>
          <t>2021-05-20</t>
        </is>
      </c>
      <c r="B818" t="inlineStr">
        <is>
          <t>news</t>
        </is>
      </c>
      <c r="C818" t="inlineStr">
        <is>
          <t>economy</t>
        </is>
      </c>
      <c r="D818" t="inlineStr">
        <is>
          <t>노컷뉴스</t>
        </is>
      </c>
      <c r="E818" t="inlineStr">
        <is>
          <t>양승진</t>
        </is>
      </c>
      <c r="F818" t="inlineStr">
        <is>
          <t>포스코, 호주 니켈 광산회사 지분 30% 인수</t>
        </is>
      </c>
      <c r="G818" s="2">
        <f>HYPERLINK("https://www.nocutnews.co.kr/news/5556105", "Go to Website")</f>
        <v/>
      </c>
      <c r="H818" t="inlineStr"/>
      <c r="I818" t="inlineStr">
        <is>
          <t>C24</t>
        </is>
      </c>
      <c r="J818" s="3" t="n">
        <v>1</v>
      </c>
      <c r="K818" t="inlineStr">
        <is>
          <t>1차 금속 제조업</t>
        </is>
      </c>
      <c r="L818" t="inlineStr">
        <is>
          <t>1</t>
        </is>
      </c>
      <c r="M818" s="3" t="n">
        <v>0.511</v>
      </c>
      <c r="N818" t="inlineStr">
        <is>
          <t>긍정</t>
        </is>
      </c>
    </row>
    <row r="819">
      <c r="A819" s="1" t="inlineStr">
        <is>
          <t>2021-05-20</t>
        </is>
      </c>
      <c r="B819" t="inlineStr">
        <is>
          <t>news</t>
        </is>
      </c>
      <c r="C819" t="inlineStr">
        <is>
          <t>economy</t>
        </is>
      </c>
      <c r="D819" t="inlineStr">
        <is>
          <t>연합뉴스</t>
        </is>
      </c>
      <c r="E819" t="inlineStr"/>
      <c r="F819" t="inlineStr">
        <is>
          <t>아우디가 공개한 전기차 소개하는 제프 매너링 사장</t>
        </is>
      </c>
      <c r="G819" s="2">
        <f>HYPERLINK("http://yna.kr/PYH20210520157600848?did=1196m", "Go to Website")</f>
        <v/>
      </c>
      <c r="H819" t="inlineStr"/>
      <c r="I819" t="inlineStr">
        <is>
          <t>100</t>
        </is>
      </c>
      <c r="J819" s="3" t="n">
        <v>0.9429999999999999</v>
      </c>
      <c r="K819" t="inlineStr">
        <is>
          <t>분류 제외, 기타</t>
        </is>
      </c>
      <c r="L819" t="inlineStr">
        <is>
          <t>0</t>
        </is>
      </c>
      <c r="M819" s="3" t="n">
        <v>0.664</v>
      </c>
      <c r="N819" t="inlineStr">
        <is>
          <t>중립</t>
        </is>
      </c>
    </row>
    <row r="820">
      <c r="A820" s="1" t="inlineStr">
        <is>
          <t>2021-05-20</t>
        </is>
      </c>
      <c r="B820" t="inlineStr">
        <is>
          <t>news</t>
        </is>
      </c>
      <c r="C820" t="inlineStr">
        <is>
          <t>economy</t>
        </is>
      </c>
      <c r="D820" t="inlineStr">
        <is>
          <t>한국경제</t>
        </is>
      </c>
      <c r="E820" t="inlineStr">
        <is>
          <t>한경닷컴</t>
        </is>
      </c>
      <c r="F820" t="inlineStr">
        <is>
          <t>코스피, 외인·기관 매도세에 소폭 하락…LG화학 2%↑</t>
        </is>
      </c>
      <c r="G820" s="2">
        <f>HYPERLINK("https://www.hankyung.com/finance/article/2021052020456", "Go to Website")</f>
        <v/>
      </c>
      <c r="H820" t="inlineStr"/>
      <c r="I820" t="inlineStr">
        <is>
          <t>100</t>
        </is>
      </c>
      <c r="J820" s="3" t="n">
        <v>0.748</v>
      </c>
      <c r="K820" t="inlineStr">
        <is>
          <t>분류 제외, 기타</t>
        </is>
      </c>
      <c r="L820" t="inlineStr">
        <is>
          <t>0</t>
        </is>
      </c>
      <c r="M820" s="3" t="n">
        <v>0.989</v>
      </c>
      <c r="N820" t="inlineStr">
        <is>
          <t>중립</t>
        </is>
      </c>
    </row>
    <row r="821">
      <c r="A821" s="1" t="inlineStr">
        <is>
          <t>2021-05-20</t>
        </is>
      </c>
      <c r="B821" t="inlineStr">
        <is>
          <t>news</t>
        </is>
      </c>
      <c r="C821" t="inlineStr">
        <is>
          <t>economy</t>
        </is>
      </c>
      <c r="D821" t="inlineStr">
        <is>
          <t>이데일리</t>
        </is>
      </c>
      <c r="E821" t="inlineStr">
        <is>
          <t>이혜라</t>
        </is>
      </c>
      <c r="F821" t="inlineStr">
        <is>
          <t>SK이노·美포드 합작법인 출범…배터리株 전망은?</t>
        </is>
      </c>
      <c r="G821" s="2">
        <f>HYPERLINK("http://www.edaily.co.kr/news/newspath.asp?newsid=03339046629050888", "Go to Website")</f>
        <v/>
      </c>
      <c r="H821" t="inlineStr"/>
      <c r="I821" t="inlineStr">
        <is>
          <t>K64</t>
        </is>
      </c>
      <c r="J821" s="3" t="n">
        <v>0.902</v>
      </c>
      <c r="K821" t="inlineStr">
        <is>
          <t>금융업</t>
        </is>
      </c>
      <c r="L821" t="inlineStr"/>
      <c r="M821" t="inlineStr"/>
      <c r="N821" t="inlineStr"/>
    </row>
    <row r="822">
      <c r="A822" s="1" t="inlineStr">
        <is>
          <t>2021-05-20</t>
        </is>
      </c>
      <c r="B822" t="inlineStr">
        <is>
          <t>news</t>
        </is>
      </c>
      <c r="C822" t="inlineStr">
        <is>
          <t>economy</t>
        </is>
      </c>
      <c r="D822" t="inlineStr">
        <is>
          <t>한국경제TV</t>
        </is>
      </c>
      <c r="E822" t="inlineStr">
        <is>
          <t>김보미</t>
        </is>
      </c>
      <c r="F822" t="inlineStr">
        <is>
          <t>조용병 회장의 선도하는 ESG경영…"업무용 차량을 무공해차로"</t>
        </is>
      </c>
      <c r="G822" s="2">
        <f>HYPERLINK("http://www.wowtv.co.kr/NewsCenter/News/Read?articleId=A202105200314&amp;t=NN", "Go to Website")</f>
        <v/>
      </c>
      <c r="H822" t="inlineStr"/>
      <c r="I822" t="inlineStr">
        <is>
          <t>K64</t>
        </is>
      </c>
      <c r="J822" s="3" t="n">
        <v>0.983</v>
      </c>
      <c r="K822" t="inlineStr">
        <is>
          <t>금융업</t>
        </is>
      </c>
      <c r="L822" t="inlineStr">
        <is>
          <t>0</t>
        </is>
      </c>
      <c r="M822" s="3" t="n">
        <v>0.983</v>
      </c>
      <c r="N822" t="inlineStr">
        <is>
          <t>중립</t>
        </is>
      </c>
    </row>
    <row r="823">
      <c r="A823" s="1" t="inlineStr">
        <is>
          <t>2021-05-20</t>
        </is>
      </c>
      <c r="B823" t="inlineStr">
        <is>
          <t>news</t>
        </is>
      </c>
      <c r="C823" t="inlineStr">
        <is>
          <t>economy</t>
        </is>
      </c>
      <c r="D823" t="inlineStr">
        <is>
          <t>조선비즈</t>
        </is>
      </c>
      <c r="E823" t="inlineStr">
        <is>
          <t>이윤정</t>
        </is>
      </c>
      <c r="F823" t="inlineStr">
        <is>
          <t>롯데케미칼, 전기차 배터리 소재 산업 진출… 2100억원 투자</t>
        </is>
      </c>
      <c r="G823" s="2">
        <f>HYPERLINK("https://biz.chosun.com/industry/company/2021/05/20/INJLRFBK7RC4RAMO3GKWRZT6IU/?utm_medium=original&amp;utm_campaign=biz", "Go to Website")</f>
        <v/>
      </c>
      <c r="H823" t="inlineStr"/>
      <c r="I823" t="inlineStr">
        <is>
          <t>C20</t>
        </is>
      </c>
      <c r="J823" s="3" t="n">
        <v>1</v>
      </c>
      <c r="K823" t="inlineStr">
        <is>
          <t>화학 물질 및 화학제품 제조업; 의약품 제외</t>
        </is>
      </c>
      <c r="L823" t="inlineStr">
        <is>
          <t>1</t>
        </is>
      </c>
      <c r="M823" s="3" t="n">
        <v>0.999</v>
      </c>
      <c r="N823" t="inlineStr">
        <is>
          <t>긍정</t>
        </is>
      </c>
    </row>
    <row r="824">
      <c r="A824" s="1" t="inlineStr">
        <is>
          <t>2021-05-20</t>
        </is>
      </c>
      <c r="B824" t="inlineStr">
        <is>
          <t>news</t>
        </is>
      </c>
      <c r="C824" t="inlineStr">
        <is>
          <t>economy</t>
        </is>
      </c>
      <c r="D824" t="inlineStr">
        <is>
          <t>연합뉴스</t>
        </is>
      </c>
      <c r="E824" t="inlineStr"/>
      <c r="F824" t="inlineStr">
        <is>
          <t>아우디가 공개한 전기차 소개하는 제프 매너링 사장</t>
        </is>
      </c>
      <c r="G824" s="2">
        <f>HYPERLINK("http://yna.kr/PYH20210520157400848?did=1196m", "Go to Website")</f>
        <v/>
      </c>
      <c r="H824" t="inlineStr"/>
      <c r="I824" t="inlineStr">
        <is>
          <t>100</t>
        </is>
      </c>
      <c r="J824" s="3" t="n">
        <v>0.98</v>
      </c>
      <c r="K824" t="inlineStr">
        <is>
          <t>분류 제외, 기타</t>
        </is>
      </c>
      <c r="L824" t="inlineStr">
        <is>
          <t>0</t>
        </is>
      </c>
      <c r="M824" s="3" t="n">
        <v>0.638</v>
      </c>
      <c r="N824" t="inlineStr">
        <is>
          <t>중립</t>
        </is>
      </c>
    </row>
    <row r="825">
      <c r="A825" s="1" t="inlineStr">
        <is>
          <t>2021-05-20</t>
        </is>
      </c>
      <c r="B825" t="inlineStr">
        <is>
          <t>news</t>
        </is>
      </c>
      <c r="C825" t="inlineStr">
        <is>
          <t>economy</t>
        </is>
      </c>
      <c r="D825" t="inlineStr">
        <is>
          <t>연합뉴스</t>
        </is>
      </c>
      <c r="E825" t="inlineStr"/>
      <c r="F825" t="inlineStr">
        <is>
          <t>아우디가 공개한 전기차 'e-트론 GT'</t>
        </is>
      </c>
      <c r="G825" s="2">
        <f>HYPERLINK("http://yna.kr/PYH20210520156700848?did=1196m", "Go to Website")</f>
        <v/>
      </c>
      <c r="H825" t="inlineStr"/>
      <c r="I825" t="inlineStr">
        <is>
          <t>100</t>
        </is>
      </c>
      <c r="J825" s="3" t="n">
        <v>0.999</v>
      </c>
      <c r="K825" t="inlineStr">
        <is>
          <t>분류 제외, 기타</t>
        </is>
      </c>
      <c r="L825" t="inlineStr"/>
      <c r="M825" t="inlineStr"/>
      <c r="N825" t="inlineStr"/>
    </row>
    <row r="826">
      <c r="A826" s="1" t="inlineStr">
        <is>
          <t>2021-05-20</t>
        </is>
      </c>
      <c r="B826" t="inlineStr">
        <is>
          <t>news</t>
        </is>
      </c>
      <c r="C826" t="inlineStr">
        <is>
          <t>economy</t>
        </is>
      </c>
      <c r="D826" t="inlineStr">
        <is>
          <t>한국일보</t>
        </is>
      </c>
      <c r="E826" t="inlineStr">
        <is>
          <t>류종은</t>
        </is>
      </c>
      <c r="F826" t="inlineStr">
        <is>
          <t>아우디폭스바겐, '디젤게이트' 얼룩 지우고 "친환경 브랜드로 재도약"</t>
        </is>
      </c>
      <c r="G826" s="2">
        <f>HYPERLINK("https://hankookilbo.com/News/Read/A2021052015070003670?did=NA", "Go to Website")</f>
        <v/>
      </c>
      <c r="H826" t="inlineStr"/>
      <c r="I826" t="inlineStr">
        <is>
          <t>100</t>
        </is>
      </c>
      <c r="J826" s="3" t="n">
        <v>0.983</v>
      </c>
      <c r="K826" t="inlineStr">
        <is>
          <t>분류 제외, 기타</t>
        </is>
      </c>
      <c r="L826" t="inlineStr"/>
      <c r="M826" t="inlineStr"/>
      <c r="N826" t="inlineStr"/>
    </row>
    <row r="827">
      <c r="A827" s="1" t="inlineStr">
        <is>
          <t>2021-05-20</t>
        </is>
      </c>
      <c r="B827" t="inlineStr">
        <is>
          <t>news</t>
        </is>
      </c>
      <c r="C827" t="inlineStr">
        <is>
          <t>economy</t>
        </is>
      </c>
      <c r="D827" t="inlineStr">
        <is>
          <t>연합뉴스</t>
        </is>
      </c>
      <c r="E827" t="inlineStr"/>
      <c r="F827" t="inlineStr">
        <is>
          <t>아우디가 공개한 전기차 내부</t>
        </is>
      </c>
      <c r="G827" s="2">
        <f>HYPERLINK("http://yna.kr/PYH20210520155400848?did=1196m", "Go to Website")</f>
        <v/>
      </c>
      <c r="H827" t="inlineStr"/>
      <c r="I827" t="inlineStr">
        <is>
          <t>100</t>
        </is>
      </c>
      <c r="J827" s="3" t="n">
        <v>0.856</v>
      </c>
      <c r="K827" t="inlineStr">
        <is>
          <t>분류 제외, 기타</t>
        </is>
      </c>
      <c r="L827" t="inlineStr"/>
      <c r="M827" t="inlineStr"/>
      <c r="N827" t="inlineStr"/>
    </row>
    <row r="828">
      <c r="A828" s="1" t="inlineStr">
        <is>
          <t>2021-05-20</t>
        </is>
      </c>
      <c r="B828" t="inlineStr">
        <is>
          <t>news</t>
        </is>
      </c>
      <c r="C828" t="inlineStr">
        <is>
          <t>economy</t>
        </is>
      </c>
      <c r="D828" t="inlineStr">
        <is>
          <t>연합뉴스</t>
        </is>
      </c>
      <c r="E828" t="inlineStr"/>
      <c r="F828" t="inlineStr">
        <is>
          <t>아우디가 공개한 전기차 'e-트론 GT'</t>
        </is>
      </c>
      <c r="G828" s="2">
        <f>HYPERLINK("http://yna.kr/PYH20210520155000848?did=1196m", "Go to Website")</f>
        <v/>
      </c>
      <c r="H828" t="inlineStr"/>
      <c r="I828" t="inlineStr">
        <is>
          <t>100</t>
        </is>
      </c>
      <c r="J828" s="3" t="n">
        <v>0.99</v>
      </c>
      <c r="K828" t="inlineStr">
        <is>
          <t>분류 제외, 기타</t>
        </is>
      </c>
      <c r="L828" t="inlineStr">
        <is>
          <t>1</t>
        </is>
      </c>
      <c r="M828" s="3" t="n">
        <v>0.775</v>
      </c>
      <c r="N828" t="inlineStr">
        <is>
          <t>긍정</t>
        </is>
      </c>
    </row>
    <row r="829">
      <c r="A829" s="1" t="inlineStr">
        <is>
          <t>2021-05-20</t>
        </is>
      </c>
      <c r="B829" t="inlineStr">
        <is>
          <t>news</t>
        </is>
      </c>
      <c r="C829" t="inlineStr">
        <is>
          <t>economy</t>
        </is>
      </c>
      <c r="D829" t="inlineStr">
        <is>
          <t>뉴시스</t>
        </is>
      </c>
      <c r="E829" t="inlineStr">
        <is>
          <t>정윤아</t>
        </is>
      </c>
      <c r="F829" t="inlineStr">
        <is>
          <t>롯데케미칼, 2100억 들여 전기차 배터리 유기용매 생산시설 세운다</t>
        </is>
      </c>
      <c r="G829" s="2">
        <f>HYPERLINK("http://www.newsis.com/view/?id=NISX20210520_0001447588&amp;cID=13001&amp;pID=13000", "Go to Website")</f>
        <v/>
      </c>
      <c r="H829" t="inlineStr"/>
      <c r="I829" t="inlineStr">
        <is>
          <t>C20</t>
        </is>
      </c>
      <c r="J829" s="3" t="n">
        <v>0.988</v>
      </c>
      <c r="K829" t="inlineStr">
        <is>
          <t>화학 물질 및 화학제품 제조업; 의약품 제외</t>
        </is>
      </c>
      <c r="L829" t="inlineStr">
        <is>
          <t>1</t>
        </is>
      </c>
      <c r="M829" s="3" t="n">
        <v>0.799</v>
      </c>
      <c r="N829" t="inlineStr">
        <is>
          <t>긍정</t>
        </is>
      </c>
    </row>
    <row r="830">
      <c r="A830" s="1" t="inlineStr">
        <is>
          <t>2021-05-20</t>
        </is>
      </c>
      <c r="B830" t="inlineStr">
        <is>
          <t>news</t>
        </is>
      </c>
      <c r="C830" t="inlineStr">
        <is>
          <t>economy</t>
        </is>
      </c>
      <c r="D830" t="inlineStr">
        <is>
          <t>연합뉴스</t>
        </is>
      </c>
      <c r="E830" t="inlineStr"/>
      <c r="F830" t="inlineStr">
        <is>
          <t>아우디가 공개한 전기차 'RS e-트론 GT'와 'e-트론 GT'</t>
        </is>
      </c>
      <c r="G830" s="2">
        <f>HYPERLINK("http://yna.kr/PYH20210520151900848?did=1196m", "Go to Website")</f>
        <v/>
      </c>
      <c r="H830" t="inlineStr"/>
      <c r="I830" t="inlineStr">
        <is>
          <t>100</t>
        </is>
      </c>
      <c r="J830" s="3" t="n">
        <v>0.961</v>
      </c>
      <c r="K830" t="inlineStr">
        <is>
          <t>분류 제외, 기타</t>
        </is>
      </c>
      <c r="L830" t="inlineStr">
        <is>
          <t>1</t>
        </is>
      </c>
      <c r="M830" s="3" t="n">
        <v>0.978</v>
      </c>
      <c r="N830" t="inlineStr">
        <is>
          <t>긍정</t>
        </is>
      </c>
    </row>
    <row r="831">
      <c r="A831" s="1" t="inlineStr">
        <is>
          <t>2021-05-20</t>
        </is>
      </c>
      <c r="B831" t="inlineStr">
        <is>
          <t>news</t>
        </is>
      </c>
      <c r="C831" t="inlineStr">
        <is>
          <t>economy</t>
        </is>
      </c>
      <c r="D831" t="inlineStr">
        <is>
          <t>한국경제</t>
        </is>
      </c>
      <c r="E831" t="inlineStr"/>
      <c r="F831" t="inlineStr">
        <is>
          <t>한국엠에스씨소프트웨어, 지속가능성 주제로 ‘2021 헥사곤 디자인 &amp; 엔지니어링 코리아’ 컨퍼런스 개최</t>
        </is>
      </c>
      <c r="G831" s="2">
        <f>HYPERLINK("https://www.hankyung.com/economy/article/202105202072a", "Go to Website")</f>
        <v/>
      </c>
      <c r="H831" t="inlineStr"/>
      <c r="I831" t="inlineStr">
        <is>
          <t>C27</t>
        </is>
      </c>
      <c r="J831" s="3" t="n">
        <v>0.581</v>
      </c>
      <c r="K831" t="inlineStr">
        <is>
          <t>의료, 정밀, 광학 기기 및 시계 제조업</t>
        </is>
      </c>
      <c r="L831" t="inlineStr"/>
      <c r="M831" t="inlineStr"/>
      <c r="N831" t="inlineStr"/>
    </row>
    <row r="832">
      <c r="A832" s="1" t="inlineStr">
        <is>
          <t>2021-05-20</t>
        </is>
      </c>
      <c r="B832" t="inlineStr">
        <is>
          <t>news</t>
        </is>
      </c>
      <c r="C832" t="inlineStr">
        <is>
          <t>economy</t>
        </is>
      </c>
      <c r="D832" t="inlineStr">
        <is>
          <t>연합뉴스</t>
        </is>
      </c>
      <c r="E832" t="inlineStr"/>
      <c r="F832" t="inlineStr">
        <is>
          <t>아우디가 공개한 전기차 'e-트론 GT'와 'RS e-트론 GT'</t>
        </is>
      </c>
      <c r="G832" s="2">
        <f>HYPERLINK("http://yna.kr/PYH20210520151200848?did=1196m", "Go to Website")</f>
        <v/>
      </c>
      <c r="H832" t="inlineStr"/>
      <c r="I832" t="inlineStr">
        <is>
          <t>100</t>
        </is>
      </c>
      <c r="J832" s="3" t="n">
        <v>0.833</v>
      </c>
      <c r="K832" t="inlineStr">
        <is>
          <t>분류 제외, 기타</t>
        </is>
      </c>
      <c r="L832" t="inlineStr">
        <is>
          <t>1</t>
        </is>
      </c>
      <c r="M832" s="3" t="n">
        <v>0.969</v>
      </c>
      <c r="N832" t="inlineStr">
        <is>
          <t>긍정</t>
        </is>
      </c>
    </row>
    <row r="833">
      <c r="A833" s="1" t="inlineStr">
        <is>
          <t>2021-05-20</t>
        </is>
      </c>
      <c r="B833" t="inlineStr">
        <is>
          <t>news</t>
        </is>
      </c>
      <c r="C833" t="inlineStr">
        <is>
          <t>economy</t>
        </is>
      </c>
      <c r="D833" t="inlineStr">
        <is>
          <t>머니투데이</t>
        </is>
      </c>
      <c r="E833" t="inlineStr">
        <is>
          <t>김성은</t>
        </is>
      </c>
      <c r="F833" t="inlineStr">
        <is>
          <t>신동빈의 '특명' 닷새 만에..롯데케미칼 미래 청사진 구체화</t>
        </is>
      </c>
      <c r="G833" s="2">
        <f>HYPERLINK("http://news.mt.co.kr/mtview.php?no=2021052014440793662", "Go to Website")</f>
        <v/>
      </c>
      <c r="H833" t="inlineStr"/>
      <c r="I833" t="inlineStr">
        <is>
          <t>C20</t>
        </is>
      </c>
      <c r="J833" s="3" t="n">
        <v>0.947</v>
      </c>
      <c r="K833" t="inlineStr">
        <is>
          <t>화학 물질 및 화학제품 제조업; 의약품 제외</t>
        </is>
      </c>
      <c r="L833" t="inlineStr">
        <is>
          <t>1</t>
        </is>
      </c>
      <c r="M833" s="3" t="n">
        <v>0.701</v>
      </c>
      <c r="N833" t="inlineStr">
        <is>
          <t>긍정</t>
        </is>
      </c>
    </row>
    <row r="834">
      <c r="A834" s="1" t="inlineStr">
        <is>
          <t>2021-05-20</t>
        </is>
      </c>
      <c r="B834" t="inlineStr">
        <is>
          <t>news</t>
        </is>
      </c>
      <c r="C834" t="inlineStr">
        <is>
          <t>economy</t>
        </is>
      </c>
      <c r="D834" t="inlineStr">
        <is>
          <t>아이뉴스24</t>
        </is>
      </c>
      <c r="E834" t="inlineStr">
        <is>
          <t>강길홍</t>
        </is>
      </c>
      <c r="F834" t="inlineStr">
        <is>
          <t>롯데케미칼, 전기차 배터리용 전해액 유기용매 생산시설 짓는다</t>
        </is>
      </c>
      <c r="G834" s="2">
        <f>HYPERLINK("http://www.inews24.com/view/1368667", "Go to Website")</f>
        <v/>
      </c>
      <c r="H834" t="inlineStr"/>
      <c r="I834" t="inlineStr">
        <is>
          <t>C20</t>
        </is>
      </c>
      <c r="J834" s="3" t="n">
        <v>0.996</v>
      </c>
      <c r="K834" t="inlineStr">
        <is>
          <t>화학 물질 및 화학제품 제조업; 의약품 제외</t>
        </is>
      </c>
      <c r="L834" t="inlineStr">
        <is>
          <t>1</t>
        </is>
      </c>
      <c r="M834" s="3" t="n">
        <v>0.822</v>
      </c>
      <c r="N834" t="inlineStr">
        <is>
          <t>긍정</t>
        </is>
      </c>
    </row>
    <row r="835">
      <c r="A835" s="1" t="inlineStr">
        <is>
          <t>2021-05-20</t>
        </is>
      </c>
      <c r="B835" t="inlineStr">
        <is>
          <t>news</t>
        </is>
      </c>
      <c r="C835" t="inlineStr">
        <is>
          <t>economy</t>
        </is>
      </c>
      <c r="D835" t="inlineStr">
        <is>
          <t>매일신문</t>
        </is>
      </c>
      <c r="E835" t="inlineStr">
        <is>
          <t>김윤기</t>
        </is>
      </c>
      <c r="F835" t="inlineStr">
        <is>
          <t>"변해야 산다", 대구기업 미래산업으로 재편 움직임 활발</t>
        </is>
      </c>
      <c r="G835" s="2">
        <f>HYPERLINK("https://news.imaeil.com/Economy/2021052015163489144", "Go to Website")</f>
        <v/>
      </c>
      <c r="H835" t="inlineStr"/>
      <c r="I835" t="inlineStr">
        <is>
          <t>100</t>
        </is>
      </c>
      <c r="J835" s="3" t="n">
        <v>0.655</v>
      </c>
      <c r="K835" t="inlineStr">
        <is>
          <t>분류 제외, 기타</t>
        </is>
      </c>
      <c r="L835" t="inlineStr">
        <is>
          <t>0</t>
        </is>
      </c>
      <c r="M835" s="3" t="n">
        <v>0.997</v>
      </c>
      <c r="N835" t="inlineStr">
        <is>
          <t>중립</t>
        </is>
      </c>
    </row>
    <row r="836">
      <c r="A836" s="1" t="inlineStr">
        <is>
          <t>2021-05-20</t>
        </is>
      </c>
      <c r="B836" t="inlineStr">
        <is>
          <t>news</t>
        </is>
      </c>
      <c r="C836" t="inlineStr">
        <is>
          <t>economy</t>
        </is>
      </c>
      <c r="D836" t="inlineStr">
        <is>
          <t>머니투데이</t>
        </is>
      </c>
      <c r="E836" t="inlineStr">
        <is>
          <t>이강준</t>
        </is>
      </c>
      <c r="F836" t="inlineStr">
        <is>
          <t>1.4억 아우디 e트론 GT 실물 보니…"포르쉐 타이칸 닮았네"</t>
        </is>
      </c>
      <c r="G836" s="2">
        <f>HYPERLINK("http://news.mt.co.kr/mtview.php?no=2021052012561878773", "Go to Website")</f>
        <v/>
      </c>
      <c r="H836" t="inlineStr"/>
      <c r="I836" t="inlineStr">
        <is>
          <t>100</t>
        </is>
      </c>
      <c r="J836" s="3" t="n">
        <v>0.996</v>
      </c>
      <c r="K836" t="inlineStr">
        <is>
          <t>분류 제외, 기타</t>
        </is>
      </c>
      <c r="L836" t="inlineStr">
        <is>
          <t>0</t>
        </is>
      </c>
      <c r="M836" s="3" t="n">
        <v>0.715</v>
      </c>
      <c r="N836" t="inlineStr">
        <is>
          <t>중립</t>
        </is>
      </c>
    </row>
    <row r="837">
      <c r="A837" s="1" t="inlineStr">
        <is>
          <t>2021-05-20</t>
        </is>
      </c>
      <c r="B837" t="inlineStr">
        <is>
          <t>news</t>
        </is>
      </c>
      <c r="C837" t="inlineStr">
        <is>
          <t>economy</t>
        </is>
      </c>
      <c r="D837" t="inlineStr">
        <is>
          <t>머니투데이</t>
        </is>
      </c>
      <c r="E837" t="inlineStr">
        <is>
          <t>최민경</t>
        </is>
      </c>
      <c r="F837" t="inlineStr">
        <is>
          <t>롯데케미칼, 전기차 배터리 전해액 사업 진출..2100억 투자</t>
        </is>
      </c>
      <c r="G837" s="2">
        <f>HYPERLINK("http://news.mt.co.kr/mtview.php?no=2021052014230146830", "Go to Website")</f>
        <v/>
      </c>
      <c r="H837" t="inlineStr"/>
      <c r="I837" t="inlineStr">
        <is>
          <t>C20</t>
        </is>
      </c>
      <c r="J837" s="3" t="n">
        <v>1</v>
      </c>
      <c r="K837" t="inlineStr">
        <is>
          <t>화학 물질 및 화학제품 제조업; 의약품 제외</t>
        </is>
      </c>
      <c r="L837" t="inlineStr">
        <is>
          <t>1</t>
        </is>
      </c>
      <c r="M837" s="3" t="n">
        <v>0.999</v>
      </c>
      <c r="N837" t="inlineStr">
        <is>
          <t>긍정</t>
        </is>
      </c>
    </row>
    <row r="838">
      <c r="A838" s="1" t="inlineStr">
        <is>
          <t>2021-05-20</t>
        </is>
      </c>
      <c r="B838" t="inlineStr">
        <is>
          <t>news</t>
        </is>
      </c>
      <c r="C838" t="inlineStr">
        <is>
          <t>economy</t>
        </is>
      </c>
      <c r="D838" t="inlineStr">
        <is>
          <t>연합뉴스</t>
        </is>
      </c>
      <c r="E838" t="inlineStr">
        <is>
          <t>김영신</t>
        </is>
      </c>
      <c r="F838" t="inlineStr">
        <is>
          <t>롯데케미칼, 배터리용 전해액 유기용매 생산 공장 만든다</t>
        </is>
      </c>
      <c r="G838" s="2">
        <f>HYPERLINK("http://yna.kr/AKR20210520107500003?did=1195m", "Go to Website")</f>
        <v/>
      </c>
      <c r="H838" t="inlineStr"/>
      <c r="I838" t="inlineStr">
        <is>
          <t>C20</t>
        </is>
      </c>
      <c r="J838" s="3" t="n">
        <v>1</v>
      </c>
      <c r="K838" t="inlineStr">
        <is>
          <t>화학 물질 및 화학제품 제조업; 의약품 제외</t>
        </is>
      </c>
      <c r="L838" t="inlineStr">
        <is>
          <t>1</t>
        </is>
      </c>
      <c r="M838" s="3" t="n">
        <v>0.587</v>
      </c>
      <c r="N838" t="inlineStr">
        <is>
          <t>긍정</t>
        </is>
      </c>
    </row>
    <row r="839">
      <c r="A839" s="1" t="inlineStr">
        <is>
          <t>2021-05-20</t>
        </is>
      </c>
      <c r="B839" t="inlineStr">
        <is>
          <t>news</t>
        </is>
      </c>
      <c r="C839" t="inlineStr">
        <is>
          <t>economy</t>
        </is>
      </c>
      <c r="D839" t="inlineStr">
        <is>
          <t>한국경제TV</t>
        </is>
      </c>
      <c r="E839" t="inlineStr">
        <is>
          <t>송민화</t>
        </is>
      </c>
      <c r="F839" t="inlineStr">
        <is>
          <t>[단독] EV제네시스·EV6 국내 포착…`출시 준비 끝`</t>
        </is>
      </c>
      <c r="G839" s="2">
        <f>HYPERLINK("https://www.wowtv.co.kr/NewsCenter/News/Read?articleId=A202105200067&amp;t=NNv", "Go to Website")</f>
        <v/>
      </c>
      <c r="H839" t="inlineStr"/>
      <c r="I839" t="inlineStr">
        <is>
          <t>C30</t>
        </is>
      </c>
      <c r="J839" s="3" t="n">
        <v>0.627</v>
      </c>
      <c r="K839" t="inlineStr">
        <is>
          <t>자동차 및 트레일러 제조업</t>
        </is>
      </c>
      <c r="L839" t="inlineStr"/>
      <c r="M839" t="inlineStr"/>
      <c r="N839" t="inlineStr"/>
    </row>
    <row r="840">
      <c r="A840" s="1" t="inlineStr">
        <is>
          <t>2021-05-20</t>
        </is>
      </c>
      <c r="B840" t="inlineStr">
        <is>
          <t>news</t>
        </is>
      </c>
      <c r="C840" t="inlineStr">
        <is>
          <t>economy</t>
        </is>
      </c>
      <c r="D840" t="inlineStr">
        <is>
          <t>한국경제TV</t>
        </is>
      </c>
      <c r="E840" t="inlineStr">
        <is>
          <t>조연</t>
        </is>
      </c>
      <c r="F840" t="inlineStr">
        <is>
          <t>김형 대우건설 사장, '어린이 교통안전 릴레이 챌린지' 참여</t>
        </is>
      </c>
      <c r="G840" s="2">
        <f>HYPERLINK("http://www.wowtv.co.kr/NewsCenter/News/Read?articleId=A202105200271&amp;t=NN", "Go to Website")</f>
        <v/>
      </c>
      <c r="H840" t="inlineStr"/>
      <c r="I840" t="inlineStr">
        <is>
          <t>F41</t>
        </is>
      </c>
      <c r="J840" s="3" t="n">
        <v>0.979</v>
      </c>
      <c r="K840" t="inlineStr">
        <is>
          <t>종합 건설업</t>
        </is>
      </c>
      <c r="L840" t="inlineStr">
        <is>
          <t>0</t>
        </is>
      </c>
      <c r="M840" s="3" t="n">
        <v>0.999</v>
      </c>
      <c r="N840" t="inlineStr">
        <is>
          <t>중립</t>
        </is>
      </c>
    </row>
    <row r="841">
      <c r="A841" s="1" t="inlineStr">
        <is>
          <t>2021-05-20</t>
        </is>
      </c>
      <c r="B841" t="inlineStr">
        <is>
          <t>news</t>
        </is>
      </c>
      <c r="C841" t="inlineStr">
        <is>
          <t>economy</t>
        </is>
      </c>
      <c r="D841" t="inlineStr">
        <is>
          <t>뉴시스</t>
        </is>
      </c>
      <c r="E841" t="inlineStr">
        <is>
          <t>이재은</t>
        </is>
      </c>
      <c r="F841" t="inlineStr">
        <is>
          <t>포스코, 호주 이차전지용 니켈 광산회사 지분 30% 인수</t>
        </is>
      </c>
      <c r="G841" s="2">
        <f>HYPERLINK("http://www.newsis.com/view/?id=NISX20210520_0001447495&amp;cID=13001&amp;pID=13000", "Go to Website")</f>
        <v/>
      </c>
      <c r="H841" t="inlineStr"/>
      <c r="I841" t="inlineStr">
        <is>
          <t>C24</t>
        </is>
      </c>
      <c r="J841" s="3" t="n">
        <v>1</v>
      </c>
      <c r="K841" t="inlineStr">
        <is>
          <t>1차 금속 제조업</t>
        </is>
      </c>
      <c r="L841" t="inlineStr">
        <is>
          <t>1</t>
        </is>
      </c>
      <c r="M841" s="3" t="n">
        <v>0.753</v>
      </c>
      <c r="N841" t="inlineStr">
        <is>
          <t>긍정</t>
        </is>
      </c>
    </row>
    <row r="842">
      <c r="A842" s="1" t="inlineStr">
        <is>
          <t>2021-05-20</t>
        </is>
      </c>
      <c r="B842" t="inlineStr">
        <is>
          <t>news</t>
        </is>
      </c>
      <c r="C842" t="inlineStr">
        <is>
          <t>economy</t>
        </is>
      </c>
      <c r="D842" t="inlineStr">
        <is>
          <t>디지털타임스</t>
        </is>
      </c>
      <c r="E842" t="inlineStr">
        <is>
          <t>박정일</t>
        </is>
      </c>
      <c r="F842" t="inlineStr">
        <is>
          <t>中 시장 빼면 `K-배터리` 세상…1분기 LG·삼성·SK `톱5`</t>
        </is>
      </c>
      <c r="G842" s="2">
        <f>HYPERLINK("http://www.dt.co.kr/contents.html?article_no=2021052002109932781006", "Go to Website")</f>
        <v/>
      </c>
      <c r="H842" t="inlineStr"/>
      <c r="I842" t="inlineStr">
        <is>
          <t>C28</t>
        </is>
      </c>
      <c r="J842" s="3" t="n">
        <v>0.966</v>
      </c>
      <c r="K842" t="inlineStr">
        <is>
          <t>전기장비 제조업</t>
        </is>
      </c>
      <c r="L842" t="inlineStr"/>
      <c r="M842" t="inlineStr"/>
      <c r="N842" t="inlineStr"/>
    </row>
    <row r="843">
      <c r="A843" s="1" t="inlineStr">
        <is>
          <t>2021-05-20</t>
        </is>
      </c>
      <c r="B843" t="inlineStr">
        <is>
          <t>news</t>
        </is>
      </c>
      <c r="C843" t="inlineStr">
        <is>
          <t>economy</t>
        </is>
      </c>
      <c r="D843" t="inlineStr">
        <is>
          <t>전자신문</t>
        </is>
      </c>
      <c r="E843" t="inlineStr">
        <is>
          <t>배옥진</t>
        </is>
      </c>
      <c r="F843" t="inlineStr">
        <is>
          <t>신한금융 '제로카본·제로퓨얼' 선언</t>
        </is>
      </c>
      <c r="G843" s="2">
        <f>HYPERLINK("http://www.etnews.com/20210520000193", "Go to Website")</f>
        <v/>
      </c>
      <c r="H843" t="inlineStr"/>
      <c r="I843" t="inlineStr">
        <is>
          <t>C28</t>
        </is>
      </c>
      <c r="J843" s="3" t="n">
        <v>0.974</v>
      </c>
      <c r="K843" t="inlineStr">
        <is>
          <t>전기장비 제조업</t>
        </is>
      </c>
      <c r="L843" t="inlineStr">
        <is>
          <t>0</t>
        </is>
      </c>
      <c r="M843" s="3" t="n">
        <v>0.969</v>
      </c>
      <c r="N843" t="inlineStr">
        <is>
          <t>중립</t>
        </is>
      </c>
    </row>
    <row r="844">
      <c r="A844" s="1" t="inlineStr">
        <is>
          <t>2021-05-20</t>
        </is>
      </c>
      <c r="B844" t="inlineStr">
        <is>
          <t>news</t>
        </is>
      </c>
      <c r="C844" t="inlineStr">
        <is>
          <t>economy</t>
        </is>
      </c>
      <c r="D844" t="inlineStr">
        <is>
          <t>머니S</t>
        </is>
      </c>
      <c r="E844" t="inlineStr">
        <is>
          <t>김화평</t>
        </is>
      </c>
      <c r="F844" t="inlineStr">
        <is>
          <t>포스코, 호주 이차전지용 니켈 광산회사 지분 인수… 2700억원 규모</t>
        </is>
      </c>
      <c r="G844" s="2">
        <f>HYPERLINK("http://moneys.mt.co.kr/news/mwView.php?no=2021052014298025744", "Go to Website")</f>
        <v/>
      </c>
      <c r="H844" t="inlineStr"/>
      <c r="I844" t="inlineStr">
        <is>
          <t>C24</t>
        </is>
      </c>
      <c r="J844" s="3" t="n">
        <v>1</v>
      </c>
      <c r="K844" t="inlineStr">
        <is>
          <t>1차 금속 제조업</t>
        </is>
      </c>
      <c r="L844" t="inlineStr">
        <is>
          <t>1</t>
        </is>
      </c>
      <c r="M844" s="3" t="n">
        <v>0.701</v>
      </c>
      <c r="N844" t="inlineStr">
        <is>
          <t>긍정</t>
        </is>
      </c>
    </row>
    <row r="845">
      <c r="A845" s="1" t="inlineStr">
        <is>
          <t>2021-05-20</t>
        </is>
      </c>
      <c r="B845" t="inlineStr">
        <is>
          <t>news</t>
        </is>
      </c>
      <c r="C845" t="inlineStr">
        <is>
          <t>economy</t>
        </is>
      </c>
      <c r="D845" t="inlineStr">
        <is>
          <t>이데일리</t>
        </is>
      </c>
      <c r="E845" t="inlineStr">
        <is>
          <t>경계영</t>
        </is>
      </c>
      <c r="F845" t="inlineStr">
        <is>
          <t>롯데케미칼, 전기차 배터리 소재 사업 박차…전해액 첫 국산화(종합)</t>
        </is>
      </c>
      <c r="G845" s="2">
        <f>HYPERLINK("http://www.edaily.co.kr/news/newspath.asp?newsid=03211126629050888", "Go to Website")</f>
        <v/>
      </c>
      <c r="H845" t="inlineStr"/>
      <c r="I845" t="inlineStr">
        <is>
          <t>C20</t>
        </is>
      </c>
      <c r="J845" s="3" t="n">
        <v>1</v>
      </c>
      <c r="K845" t="inlineStr">
        <is>
          <t>화학 물질 및 화학제품 제조업; 의약품 제외</t>
        </is>
      </c>
      <c r="L845" t="inlineStr">
        <is>
          <t>1</t>
        </is>
      </c>
      <c r="M845" s="3" t="n">
        <v>0.972</v>
      </c>
      <c r="N845" t="inlineStr">
        <is>
          <t>긍정</t>
        </is>
      </c>
    </row>
    <row r="846">
      <c r="A846" s="1" t="inlineStr">
        <is>
          <t>2021-05-20</t>
        </is>
      </c>
      <c r="B846" t="inlineStr">
        <is>
          <t>news</t>
        </is>
      </c>
      <c r="C846" t="inlineStr">
        <is>
          <t>economy</t>
        </is>
      </c>
      <c r="D846" t="inlineStr">
        <is>
          <t>중앙일보</t>
        </is>
      </c>
      <c r="E846" t="inlineStr">
        <is>
          <t>김영민</t>
        </is>
      </c>
      <c r="F846" t="inlineStr">
        <is>
          <t>SK·LG 배터리, 미·중 갈등 속에 '포드·GM 안전핀' 잡았다</t>
        </is>
      </c>
      <c r="G846" s="2">
        <f>HYPERLINK("https://news.joins.com/article/olink/23657036", "Go to Website")</f>
        <v/>
      </c>
      <c r="H846" t="inlineStr"/>
      <c r="I846" t="inlineStr">
        <is>
          <t>K64</t>
        </is>
      </c>
      <c r="J846" s="3" t="n">
        <v>0.725</v>
      </c>
      <c r="K846" t="inlineStr">
        <is>
          <t>금융업</t>
        </is>
      </c>
      <c r="L846" t="inlineStr"/>
      <c r="M846" t="inlineStr"/>
      <c r="N846" t="inlineStr"/>
    </row>
    <row r="847">
      <c r="A847" s="1" t="inlineStr">
        <is>
          <t>2021-05-20</t>
        </is>
      </c>
      <c r="B847" t="inlineStr">
        <is>
          <t>news</t>
        </is>
      </c>
      <c r="C847" t="inlineStr">
        <is>
          <t>economy</t>
        </is>
      </c>
      <c r="D847" t="inlineStr">
        <is>
          <t>머니S</t>
        </is>
      </c>
      <c r="E847" t="inlineStr">
        <is>
          <t>권가림</t>
        </is>
      </c>
      <c r="F847" t="inlineStr">
        <is>
          <t>롯데케미칼, 배터리용 전해액 유기용매 공장 건설… 2100억 투자</t>
        </is>
      </c>
      <c r="G847" s="2">
        <f>HYPERLINK("http://moneys.mt.co.kr/news/mwView.php?no=2021052014268024566", "Go to Website")</f>
        <v/>
      </c>
      <c r="H847" t="inlineStr"/>
      <c r="I847" t="inlineStr">
        <is>
          <t>C20</t>
        </is>
      </c>
      <c r="J847" s="3" t="n">
        <v>0.8080000000000001</v>
      </c>
      <c r="K847" t="inlineStr">
        <is>
          <t>화학 물질 및 화학제품 제조업; 의약품 제외</t>
        </is>
      </c>
      <c r="L847" t="inlineStr">
        <is>
          <t>1</t>
        </is>
      </c>
      <c r="M847" s="3" t="n">
        <v>0.625</v>
      </c>
      <c r="N847" t="inlineStr">
        <is>
          <t>긍정</t>
        </is>
      </c>
    </row>
    <row r="848">
      <c r="A848" s="1" t="inlineStr">
        <is>
          <t>2021-05-20</t>
        </is>
      </c>
      <c r="B848" t="inlineStr">
        <is>
          <t>news</t>
        </is>
      </c>
      <c r="C848" t="inlineStr">
        <is>
          <t>economy</t>
        </is>
      </c>
      <c r="D848" t="inlineStr">
        <is>
          <t>연합뉴스</t>
        </is>
      </c>
      <c r="E848" t="inlineStr"/>
      <c r="F848" t="inlineStr">
        <is>
          <t>아우디 고성능 전기차 'e-트론 GT' 국내 공개</t>
        </is>
      </c>
      <c r="G848" s="2">
        <f>HYPERLINK("http://yna.kr/PYH20210520126300003?did=1196m", "Go to Website")</f>
        <v/>
      </c>
      <c r="H848" t="inlineStr"/>
      <c r="I848" t="inlineStr">
        <is>
          <t>100</t>
        </is>
      </c>
      <c r="J848" s="3" t="n">
        <v>0.999</v>
      </c>
      <c r="K848" t="inlineStr">
        <is>
          <t>분류 제외, 기타</t>
        </is>
      </c>
      <c r="L848" t="inlineStr">
        <is>
          <t>1</t>
        </is>
      </c>
      <c r="M848" s="3" t="n">
        <v>0.979</v>
      </c>
      <c r="N848" t="inlineStr">
        <is>
          <t>긍정</t>
        </is>
      </c>
    </row>
    <row r="849">
      <c r="A849" s="1" t="inlineStr">
        <is>
          <t>2021-05-20</t>
        </is>
      </c>
      <c r="B849" t="inlineStr">
        <is>
          <t>news</t>
        </is>
      </c>
      <c r="C849" t="inlineStr">
        <is>
          <t>economy</t>
        </is>
      </c>
      <c r="D849" t="inlineStr">
        <is>
          <t>디지털타임스</t>
        </is>
      </c>
      <c r="E849" t="inlineStr">
        <is>
          <t>박상길</t>
        </is>
      </c>
      <c r="F849" t="inlineStr">
        <is>
          <t>김형 대우건설 사장, 어린이 교통안전 릴레이 챌린지 참여</t>
        </is>
      </c>
      <c r="G849" s="2">
        <f>HYPERLINK("http://www.dt.co.kr/contents.html?article_no=2021052002109932036003", "Go to Website")</f>
        <v/>
      </c>
      <c r="H849" t="inlineStr"/>
      <c r="I849" t="inlineStr">
        <is>
          <t>F41</t>
        </is>
      </c>
      <c r="J849" s="3" t="n">
        <v>0.806</v>
      </c>
      <c r="K849" t="inlineStr">
        <is>
          <t>종합 건설업</t>
        </is>
      </c>
      <c r="L849" t="inlineStr">
        <is>
          <t>0</t>
        </is>
      </c>
      <c r="M849" s="3" t="n">
        <v>0.999</v>
      </c>
      <c r="N849" t="inlineStr">
        <is>
          <t>중립</t>
        </is>
      </c>
    </row>
    <row r="850">
      <c r="A850" s="1" t="inlineStr">
        <is>
          <t>2021-05-20</t>
        </is>
      </c>
      <c r="B850" t="inlineStr">
        <is>
          <t>news</t>
        </is>
      </c>
      <c r="C850" t="inlineStr">
        <is>
          <t>economy</t>
        </is>
      </c>
      <c r="D850" t="inlineStr">
        <is>
          <t>디지털타임스</t>
        </is>
      </c>
      <c r="E850" t="inlineStr">
        <is>
          <t>김위수</t>
        </is>
      </c>
      <c r="F850" t="inlineStr">
        <is>
          <t>롯데케미칼, 전기차 배터리 소재 사업 진출…2100억원 투자</t>
        </is>
      </c>
      <c r="G850" s="2">
        <f>HYPERLINK("http://www.dt.co.kr/contents.html?article_no=2021052002109932033006", "Go to Website")</f>
        <v/>
      </c>
      <c r="H850" t="inlineStr"/>
      <c r="I850" t="inlineStr">
        <is>
          <t>C20</t>
        </is>
      </c>
      <c r="J850" s="3" t="n">
        <v>1</v>
      </c>
      <c r="K850" t="inlineStr">
        <is>
          <t>화학 물질 및 화학제품 제조업; 의약품 제외</t>
        </is>
      </c>
      <c r="L850" t="inlineStr">
        <is>
          <t>1</t>
        </is>
      </c>
      <c r="M850" s="3" t="n">
        <v>1</v>
      </c>
      <c r="N850" t="inlineStr">
        <is>
          <t>긍정</t>
        </is>
      </c>
    </row>
    <row r="851">
      <c r="A851" s="1" t="inlineStr">
        <is>
          <t>2021-05-20</t>
        </is>
      </c>
      <c r="B851" t="inlineStr">
        <is>
          <t>news</t>
        </is>
      </c>
      <c r="C851" t="inlineStr">
        <is>
          <t>economy</t>
        </is>
      </c>
      <c r="D851" t="inlineStr">
        <is>
          <t>아시아경제</t>
        </is>
      </c>
      <c r="E851" t="inlineStr">
        <is>
          <t>황윤주</t>
        </is>
      </c>
      <c r="F851" t="inlineStr">
        <is>
          <t>롯데케미칼, 배터리 소재 사업 진출…2100억원 투자 결정</t>
        </is>
      </c>
      <c r="G851" s="2">
        <f>HYPERLINK("https://view.asiae.co.kr/article/2021052014410593961", "Go to Website")</f>
        <v/>
      </c>
      <c r="H851" t="inlineStr"/>
      <c r="I851" t="inlineStr">
        <is>
          <t>C20</t>
        </is>
      </c>
      <c r="J851" s="3" t="n">
        <v>1</v>
      </c>
      <c r="K851" t="inlineStr">
        <is>
          <t>화학 물질 및 화학제품 제조업; 의약품 제외</t>
        </is>
      </c>
      <c r="L851" t="inlineStr">
        <is>
          <t>1</t>
        </is>
      </c>
      <c r="M851" s="3" t="n">
        <v>0.999</v>
      </c>
      <c r="N851" t="inlineStr">
        <is>
          <t>긍정</t>
        </is>
      </c>
    </row>
    <row r="852">
      <c r="A852" s="1" t="inlineStr">
        <is>
          <t>2021-05-20</t>
        </is>
      </c>
      <c r="B852" t="inlineStr">
        <is>
          <t>news</t>
        </is>
      </c>
      <c r="C852" t="inlineStr">
        <is>
          <t>economy</t>
        </is>
      </c>
      <c r="D852" t="inlineStr">
        <is>
          <t>이데일리</t>
        </is>
      </c>
      <c r="E852" t="inlineStr">
        <is>
          <t>김영수</t>
        </is>
      </c>
      <c r="F852" t="inlineStr">
        <is>
          <t>포스코인터, '印尼·우즈벡' 투자사업 성과 가시화..실적 '쑥'</t>
        </is>
      </c>
      <c r="G852" s="2">
        <f>HYPERLINK("http://www.edaily.co.kr/news/newspath.asp?newsid=03175046629050888", "Go to Website")</f>
        <v/>
      </c>
      <c r="H852" t="inlineStr"/>
      <c r="I852" t="inlineStr">
        <is>
          <t>100</t>
        </is>
      </c>
      <c r="J852" s="3" t="n">
        <v>0.991</v>
      </c>
      <c r="K852" t="inlineStr">
        <is>
          <t>분류 제외, 기타</t>
        </is>
      </c>
      <c r="L852" t="inlineStr">
        <is>
          <t>1</t>
        </is>
      </c>
      <c r="M852" s="3" t="n">
        <v>0.995</v>
      </c>
      <c r="N852" t="inlineStr">
        <is>
          <t>긍정</t>
        </is>
      </c>
    </row>
    <row r="853">
      <c r="A853" s="1" t="inlineStr">
        <is>
          <t>2021-05-20</t>
        </is>
      </c>
      <c r="B853" t="inlineStr">
        <is>
          <t>news</t>
        </is>
      </c>
      <c r="C853" t="inlineStr">
        <is>
          <t>economy</t>
        </is>
      </c>
      <c r="D853" t="inlineStr">
        <is>
          <t>아시아경제</t>
        </is>
      </c>
      <c r="E853" t="inlineStr">
        <is>
          <t>한남에서</t>
        </is>
      </c>
      <c r="F853" t="inlineStr">
        <is>
          <t>아우디, e-트론 GT·RS e-트론 GT 국내 첫 공개…연내 출격 예정</t>
        </is>
      </c>
      <c r="G853" s="2">
        <f>HYPERLINK("https://view.asiae.co.kr/article/2021052014385678634", "Go to Website")</f>
        <v/>
      </c>
      <c r="H853" t="inlineStr"/>
      <c r="I853" t="inlineStr">
        <is>
          <t>100</t>
        </is>
      </c>
      <c r="J853" s="3" t="n">
        <v>0.997</v>
      </c>
      <c r="K853" t="inlineStr">
        <is>
          <t>분류 제외, 기타</t>
        </is>
      </c>
      <c r="L853" t="inlineStr">
        <is>
          <t>1</t>
        </is>
      </c>
      <c r="M853" s="3" t="n">
        <v>0.997</v>
      </c>
      <c r="N853" t="inlineStr">
        <is>
          <t>긍정</t>
        </is>
      </c>
    </row>
    <row r="854">
      <c r="A854" s="1" t="inlineStr">
        <is>
          <t>2021-05-20</t>
        </is>
      </c>
      <c r="B854" t="inlineStr">
        <is>
          <t>news</t>
        </is>
      </c>
      <c r="C854" t="inlineStr">
        <is>
          <t>economy</t>
        </is>
      </c>
      <c r="D854" t="inlineStr">
        <is>
          <t>헤럴드경제</t>
        </is>
      </c>
      <c r="E854" t="inlineStr"/>
      <c r="F854" t="inlineStr">
        <is>
          <t>롯데케미칼, 전기차 배터리 전해액 유기용매 생산시설에 2100억 투자</t>
        </is>
      </c>
      <c r="G854" s="2">
        <f>HYPERLINK("http://news.heraldcorp.com/view.php?ud=20210520000745", "Go to Website")</f>
        <v/>
      </c>
      <c r="H854" t="inlineStr"/>
      <c r="I854" t="inlineStr">
        <is>
          <t>C20</t>
        </is>
      </c>
      <c r="J854" s="3" t="n">
        <v>1</v>
      </c>
      <c r="K854" t="inlineStr">
        <is>
          <t>화학 물질 및 화학제품 제조업; 의약품 제외</t>
        </is>
      </c>
      <c r="L854" t="inlineStr">
        <is>
          <t>1</t>
        </is>
      </c>
      <c r="M854" s="3" t="n">
        <v>0.804</v>
      </c>
      <c r="N854" t="inlineStr">
        <is>
          <t>긍정</t>
        </is>
      </c>
    </row>
    <row r="855">
      <c r="A855" s="1" t="inlineStr">
        <is>
          <t>2021-05-20</t>
        </is>
      </c>
      <c r="B855" t="inlineStr">
        <is>
          <t>news</t>
        </is>
      </c>
      <c r="C855" t="inlineStr">
        <is>
          <t>economy</t>
        </is>
      </c>
      <c r="D855" t="inlineStr">
        <is>
          <t>뉴스1</t>
        </is>
      </c>
      <c r="E855" t="inlineStr">
        <is>
          <t>류정민</t>
        </is>
      </c>
      <c r="F855" t="inlineStr">
        <is>
          <t>롯데케미칼, 전기차 배터리 유기용매 생산시설에 2100억 투자</t>
        </is>
      </c>
      <c r="G855" s="2">
        <f>HYPERLINK("https://www.news1.kr/articles/?4312416", "Go to Website")</f>
        <v/>
      </c>
      <c r="H855" t="inlineStr"/>
      <c r="I855" t="inlineStr">
        <is>
          <t>C20</t>
        </is>
      </c>
      <c r="J855" s="3" t="n">
        <v>0.962</v>
      </c>
      <c r="K855" t="inlineStr">
        <is>
          <t>화학 물질 및 화학제품 제조업; 의약품 제외</t>
        </is>
      </c>
      <c r="L855" t="inlineStr">
        <is>
          <t>1</t>
        </is>
      </c>
      <c r="M855" s="3" t="n">
        <v>0.789</v>
      </c>
      <c r="N855" t="inlineStr">
        <is>
          <t>긍정</t>
        </is>
      </c>
    </row>
    <row r="856">
      <c r="A856" s="1" t="inlineStr">
        <is>
          <t>2021-05-20</t>
        </is>
      </c>
      <c r="B856" t="inlineStr">
        <is>
          <t>news</t>
        </is>
      </c>
      <c r="C856" t="inlineStr">
        <is>
          <t>economy</t>
        </is>
      </c>
      <c r="D856" t="inlineStr">
        <is>
          <t>아이뉴스24</t>
        </is>
      </c>
      <c r="E856" t="inlineStr">
        <is>
          <t>김서온</t>
        </is>
      </c>
      <c r="F856" t="inlineStr">
        <is>
          <t>[초점] GS건설의 배터리 재활용 시장 투자가 주목받은 이유는</t>
        </is>
      </c>
      <c r="G856" s="2">
        <f>HYPERLINK("http://www.inews24.com/view/1368621", "Go to Website")</f>
        <v/>
      </c>
      <c r="H856" t="inlineStr"/>
      <c r="I856" t="inlineStr">
        <is>
          <t>F41</t>
        </is>
      </c>
      <c r="J856" s="3" t="n">
        <v>0.677</v>
      </c>
      <c r="K856" t="inlineStr">
        <is>
          <t>종합 건설업</t>
        </is>
      </c>
      <c r="L856" t="inlineStr">
        <is>
          <t>1</t>
        </is>
      </c>
      <c r="M856" s="3" t="n">
        <v>0.5639999999999999</v>
      </c>
      <c r="N856" t="inlineStr">
        <is>
          <t>긍정</t>
        </is>
      </c>
    </row>
    <row r="857">
      <c r="A857" s="1" t="inlineStr">
        <is>
          <t>2021-05-20</t>
        </is>
      </c>
      <c r="B857" t="inlineStr">
        <is>
          <t>news</t>
        </is>
      </c>
      <c r="C857" t="inlineStr">
        <is>
          <t>tech</t>
        </is>
      </c>
      <c r="D857" t="inlineStr">
        <is>
          <t>ZDNet Korea</t>
        </is>
      </c>
      <c r="E857" t="inlineStr">
        <is>
          <t>방은주</t>
        </is>
      </c>
      <c r="F857" t="inlineStr">
        <is>
          <t>규제자유특구 우수 지역은?...대구·경북·전북 뽑혀</t>
        </is>
      </c>
      <c r="G857" s="2">
        <f>HYPERLINK("https://zdnet.co.kr/view/?no=20210520143143", "Go to Website")</f>
        <v/>
      </c>
      <c r="H857" t="inlineStr"/>
      <c r="I857" t="inlineStr"/>
      <c r="J857" t="inlineStr"/>
      <c r="K857" t="inlineStr"/>
      <c r="L857" t="inlineStr"/>
      <c r="M857" t="inlineStr"/>
      <c r="N857" t="inlineStr"/>
    </row>
    <row r="858">
      <c r="A858" s="1" t="inlineStr">
        <is>
          <t>2021-05-20</t>
        </is>
      </c>
      <c r="B858" t="inlineStr">
        <is>
          <t>news</t>
        </is>
      </c>
      <c r="C858" t="inlineStr">
        <is>
          <t>economy</t>
        </is>
      </c>
      <c r="D858" t="inlineStr">
        <is>
          <t>헤럴드경제</t>
        </is>
      </c>
      <c r="E858" t="inlineStr">
        <is>
          <t>이호</t>
        </is>
      </c>
      <c r="F858" t="inlineStr">
        <is>
          <t>[특징주] 신성델타테크, LG화학 '니켈90%' 배터리 테슬라 최초 공급에 협력사로 부각</t>
        </is>
      </c>
      <c r="G858" s="2">
        <f>HYPERLINK("http://news.heraldcorp.com/view.php?ud=20210520000740", "Go to Website")</f>
        <v/>
      </c>
      <c r="H858" t="inlineStr"/>
      <c r="I858" t="inlineStr">
        <is>
          <t>C20</t>
        </is>
      </c>
      <c r="J858" s="3" t="n">
        <v>0.999</v>
      </c>
      <c r="K858" t="inlineStr">
        <is>
          <t>화학 물질 및 화학제품 제조업; 의약품 제외</t>
        </is>
      </c>
      <c r="L858" t="inlineStr"/>
      <c r="M858" t="inlineStr"/>
      <c r="N858" t="inlineStr"/>
    </row>
    <row r="859">
      <c r="A859" s="1" t="inlineStr">
        <is>
          <t>2021-05-20</t>
        </is>
      </c>
      <c r="B859" t="inlineStr">
        <is>
          <t>news</t>
        </is>
      </c>
      <c r="C859" t="inlineStr">
        <is>
          <t>economy</t>
        </is>
      </c>
      <c r="D859" t="inlineStr">
        <is>
          <t>헤럴드경제</t>
        </is>
      </c>
      <c r="E859" t="inlineStr">
        <is>
          <t>김현일</t>
        </is>
      </c>
      <c r="F859" t="inlineStr">
        <is>
          <t>롯데케미칼, 2100억 투자 전기차 배터리 소재 시설 구축</t>
        </is>
      </c>
      <c r="G859" s="2">
        <f>HYPERLINK("http://news.heraldcorp.com/view.php?ud=20210520000743", "Go to Website")</f>
        <v/>
      </c>
      <c r="H859" t="inlineStr"/>
      <c r="I859" t="inlineStr">
        <is>
          <t>C20</t>
        </is>
      </c>
      <c r="J859" s="3" t="n">
        <v>1</v>
      </c>
      <c r="K859" t="inlineStr">
        <is>
          <t>화학 물질 및 화학제품 제조업; 의약품 제외</t>
        </is>
      </c>
      <c r="L859" t="inlineStr">
        <is>
          <t>1</t>
        </is>
      </c>
      <c r="M859" s="3" t="n">
        <v>0.9409999999999999</v>
      </c>
      <c r="N859" t="inlineStr">
        <is>
          <t>긍정</t>
        </is>
      </c>
    </row>
    <row r="860">
      <c r="A860" s="1" t="inlineStr">
        <is>
          <t>2021-05-20</t>
        </is>
      </c>
      <c r="B860" t="inlineStr">
        <is>
          <t>news</t>
        </is>
      </c>
      <c r="C860" t="inlineStr">
        <is>
          <t>economy</t>
        </is>
      </c>
      <c r="D860" t="inlineStr">
        <is>
          <t>동아일보</t>
        </is>
      </c>
      <c r="E860" t="inlineStr">
        <is>
          <t>정진수</t>
        </is>
      </c>
      <c r="F860" t="inlineStr">
        <is>
          <t>아우디, e-트론 GT·RS e-트론 GT 한국서 먼저 공개</t>
        </is>
      </c>
      <c r="G860" s="2">
        <f>HYPERLINK("https://www.donga.com/news/article/all/20210520/107023331/3", "Go to Website")</f>
        <v/>
      </c>
      <c r="H860" t="inlineStr"/>
      <c r="I860" t="inlineStr">
        <is>
          <t>100</t>
        </is>
      </c>
      <c r="J860" s="3" t="n">
        <v>0.984</v>
      </c>
      <c r="K860" t="inlineStr">
        <is>
          <t>분류 제외, 기타</t>
        </is>
      </c>
      <c r="L860" t="inlineStr">
        <is>
          <t>1</t>
        </is>
      </c>
      <c r="M860" s="3" t="n">
        <v>0.992</v>
      </c>
      <c r="N860" t="inlineStr">
        <is>
          <t>긍정</t>
        </is>
      </c>
    </row>
    <row r="861">
      <c r="A861" s="1" t="inlineStr">
        <is>
          <t>2021-05-20</t>
        </is>
      </c>
      <c r="B861" t="inlineStr">
        <is>
          <t>news</t>
        </is>
      </c>
      <c r="C861" t="inlineStr">
        <is>
          <t>economy</t>
        </is>
      </c>
      <c r="D861" t="inlineStr">
        <is>
          <t>서울경제</t>
        </is>
      </c>
      <c r="E861" t="inlineStr">
        <is>
          <t>김광수</t>
        </is>
      </c>
      <c r="F861" t="inlineStr">
        <is>
          <t>신한금융, 2030년까지 모든 업무용車 ‘친환경’으로</t>
        </is>
      </c>
      <c r="G861" s="2">
        <f>HYPERLINK("https://www.sedaily.com/NewsView/22MFMZ875T", "Go to Website")</f>
        <v/>
      </c>
      <c r="H861" t="inlineStr"/>
      <c r="I861" t="inlineStr">
        <is>
          <t>C28</t>
        </is>
      </c>
      <c r="J861" s="3" t="n">
        <v>0.986</v>
      </c>
      <c r="K861" t="inlineStr">
        <is>
          <t>전기장비 제조업</t>
        </is>
      </c>
      <c r="L861" t="inlineStr">
        <is>
          <t>0</t>
        </is>
      </c>
      <c r="M861" s="3" t="n">
        <v>0.955</v>
      </c>
      <c r="N861" t="inlineStr">
        <is>
          <t>중립</t>
        </is>
      </c>
    </row>
    <row r="862">
      <c r="A862" s="1" t="inlineStr">
        <is>
          <t>2021-05-20</t>
        </is>
      </c>
      <c r="B862" t="inlineStr">
        <is>
          <t>news</t>
        </is>
      </c>
      <c r="C862" t="inlineStr">
        <is>
          <t>economy</t>
        </is>
      </c>
      <c r="D862" t="inlineStr">
        <is>
          <t>아이뉴스24</t>
        </is>
      </c>
      <c r="E862" t="inlineStr">
        <is>
          <t>강길홍</t>
        </is>
      </c>
      <c r="F862" t="inlineStr">
        <is>
          <t>아우디, 'e-트론 GT'·'RS e-트론 GT' 국내 공개</t>
        </is>
      </c>
      <c r="G862" s="2">
        <f>HYPERLINK("http://www.inews24.com/view/1368624", "Go to Website")</f>
        <v/>
      </c>
      <c r="H862" t="inlineStr"/>
      <c r="I862" t="inlineStr">
        <is>
          <t>100</t>
        </is>
      </c>
      <c r="J862" s="3" t="n">
        <v>0.9379999999999999</v>
      </c>
      <c r="K862" t="inlineStr">
        <is>
          <t>분류 제외, 기타</t>
        </is>
      </c>
      <c r="L862" t="inlineStr"/>
      <c r="M862" t="inlineStr"/>
      <c r="N862" t="inlineStr"/>
    </row>
    <row r="863">
      <c r="A863" s="1" t="inlineStr">
        <is>
          <t>2021-05-20</t>
        </is>
      </c>
      <c r="B863" t="inlineStr">
        <is>
          <t>news</t>
        </is>
      </c>
      <c r="C863" t="inlineStr">
        <is>
          <t>economy</t>
        </is>
      </c>
      <c r="D863" t="inlineStr">
        <is>
          <t>서울신문</t>
        </is>
      </c>
      <c r="E863" t="inlineStr">
        <is>
          <t>오경진</t>
        </is>
      </c>
      <c r="F863" t="inlineStr">
        <is>
          <t>롯데케미칼, 전기차 배터리 유기용매 사업 진출…“2100억원 투자”</t>
        </is>
      </c>
      <c r="G863" s="2">
        <f>HYPERLINK("https://www.seoul.co.kr/news/newsView.php?id=20210520500066", "Go to Website")</f>
        <v/>
      </c>
      <c r="H863" t="inlineStr"/>
      <c r="I863" t="inlineStr">
        <is>
          <t>C20</t>
        </is>
      </c>
      <c r="J863" s="3" t="n">
        <v>0.991</v>
      </c>
      <c r="K863" t="inlineStr">
        <is>
          <t>화학 물질 및 화학제품 제조업; 의약품 제외</t>
        </is>
      </c>
      <c r="L863" t="inlineStr">
        <is>
          <t>1</t>
        </is>
      </c>
      <c r="M863" s="3" t="n">
        <v>0.999</v>
      </c>
      <c r="N863" t="inlineStr">
        <is>
          <t>긍정</t>
        </is>
      </c>
    </row>
    <row r="864">
      <c r="A864" s="1" t="inlineStr">
        <is>
          <t>2021-05-20</t>
        </is>
      </c>
      <c r="B864" t="inlineStr">
        <is>
          <t>news</t>
        </is>
      </c>
      <c r="C864" t="inlineStr">
        <is>
          <t>economy</t>
        </is>
      </c>
      <c r="D864" t="inlineStr">
        <is>
          <t>뉴시스</t>
        </is>
      </c>
      <c r="E864" t="inlineStr"/>
      <c r="F864" t="inlineStr">
        <is>
          <t>아우디 순수 전기차 e-트론 GT·RS e-트론 GT 국내 프리뷰</t>
        </is>
      </c>
      <c r="G864" s="2">
        <f>HYPERLINK("http://www.newsis.com/view/?id=NISI20210520_0017472800", "Go to Website")</f>
        <v/>
      </c>
      <c r="H864" t="inlineStr"/>
      <c r="I864" t="inlineStr">
        <is>
          <t>100</t>
        </is>
      </c>
      <c r="J864" s="3" t="n">
        <v>0.982</v>
      </c>
      <c r="K864" t="inlineStr">
        <is>
          <t>분류 제외, 기타</t>
        </is>
      </c>
      <c r="L864" t="inlineStr">
        <is>
          <t>1</t>
        </is>
      </c>
      <c r="M864" s="3" t="n">
        <v>0.875</v>
      </c>
      <c r="N864" t="inlineStr">
        <is>
          <t>긍정</t>
        </is>
      </c>
    </row>
    <row r="865">
      <c r="A865" s="1" t="inlineStr">
        <is>
          <t>2021-05-20</t>
        </is>
      </c>
      <c r="B865" t="inlineStr">
        <is>
          <t>news</t>
        </is>
      </c>
      <c r="C865" t="inlineStr">
        <is>
          <t>economy</t>
        </is>
      </c>
      <c r="D865" t="inlineStr">
        <is>
          <t>연합뉴스</t>
        </is>
      </c>
      <c r="E865" t="inlineStr">
        <is>
          <t>최평천</t>
        </is>
      </c>
      <c r="F865" t="inlineStr">
        <is>
          <t>아우디 고성능 전기차 'e-트론 GT' 국내 공개…연내 출시</t>
        </is>
      </c>
      <c r="G865" s="2">
        <f>HYPERLINK("http://yna.kr/AKR20210520075600003?did=1195m", "Go to Website")</f>
        <v/>
      </c>
      <c r="H865" t="inlineStr"/>
      <c r="I865" t="inlineStr">
        <is>
          <t>100</t>
        </is>
      </c>
      <c r="J865" s="3" t="n">
        <v>0.996</v>
      </c>
      <c r="K865" t="inlineStr">
        <is>
          <t>분류 제외, 기타</t>
        </is>
      </c>
      <c r="L865" t="inlineStr">
        <is>
          <t>1</t>
        </is>
      </c>
      <c r="M865" s="3" t="n">
        <v>0.997</v>
      </c>
      <c r="N865" t="inlineStr">
        <is>
          <t>긍정</t>
        </is>
      </c>
    </row>
    <row r="866">
      <c r="A866" s="1" t="inlineStr">
        <is>
          <t>2021-05-20</t>
        </is>
      </c>
      <c r="B866" t="inlineStr">
        <is>
          <t>news</t>
        </is>
      </c>
      <c r="C866" t="inlineStr">
        <is>
          <t>economy</t>
        </is>
      </c>
      <c r="D866" t="inlineStr">
        <is>
          <t>뉴시스</t>
        </is>
      </c>
      <c r="E866" t="inlineStr"/>
      <c r="F866" t="inlineStr">
        <is>
          <t>아우디 순수 전기차 e-트론 GT·RS e-트론 GT 프리뷰</t>
        </is>
      </c>
      <c r="G866" s="2">
        <f>HYPERLINK("http://www.newsis.com/view/?id=NISI20210520_0017472807", "Go to Website")</f>
        <v/>
      </c>
      <c r="H866" t="inlineStr"/>
      <c r="I866" t="inlineStr">
        <is>
          <t>100</t>
        </is>
      </c>
      <c r="J866" s="3" t="n">
        <v>0.825</v>
      </c>
      <c r="K866" t="inlineStr">
        <is>
          <t>분류 제외, 기타</t>
        </is>
      </c>
      <c r="L866" t="inlineStr">
        <is>
          <t>1</t>
        </is>
      </c>
      <c r="M866" s="3" t="n">
        <v>0.879</v>
      </c>
      <c r="N866" t="inlineStr">
        <is>
          <t>긍정</t>
        </is>
      </c>
    </row>
    <row r="867">
      <c r="A867" s="1" t="inlineStr">
        <is>
          <t>2021-05-20</t>
        </is>
      </c>
      <c r="B867" t="inlineStr">
        <is>
          <t>news</t>
        </is>
      </c>
      <c r="C867" t="inlineStr">
        <is>
          <t>economy</t>
        </is>
      </c>
      <c r="D867" t="inlineStr">
        <is>
          <t>뉴시스</t>
        </is>
      </c>
      <c r="E867" t="inlineStr"/>
      <c r="F867" t="inlineStr">
        <is>
          <t>아우디 순수 전기차 e-트론 GT·RS e-트론 GT 프리뷰</t>
        </is>
      </c>
      <c r="G867" s="2">
        <f>HYPERLINK("http://www.newsis.com/view/?id=NISI20210520_0017472806", "Go to Website")</f>
        <v/>
      </c>
      <c r="H867" t="inlineStr"/>
      <c r="I867" t="inlineStr">
        <is>
          <t>100</t>
        </is>
      </c>
      <c r="J867" s="3" t="n">
        <v>0.921</v>
      </c>
      <c r="K867" t="inlineStr">
        <is>
          <t>분류 제외, 기타</t>
        </is>
      </c>
      <c r="L867" t="inlineStr">
        <is>
          <t>1</t>
        </is>
      </c>
      <c r="M867" s="3" t="n">
        <v>0.89</v>
      </c>
      <c r="N867" t="inlineStr">
        <is>
          <t>긍정</t>
        </is>
      </c>
    </row>
    <row r="868">
      <c r="A868" s="1" t="inlineStr">
        <is>
          <t>2021-05-20</t>
        </is>
      </c>
      <c r="B868" t="inlineStr">
        <is>
          <t>news</t>
        </is>
      </c>
      <c r="C868" t="inlineStr">
        <is>
          <t>economy</t>
        </is>
      </c>
      <c r="D868" t="inlineStr">
        <is>
          <t>뉴시스</t>
        </is>
      </c>
      <c r="E868" t="inlineStr"/>
      <c r="F868" t="inlineStr">
        <is>
          <t>아우디 순수 전기차 e-트론 GT</t>
        </is>
      </c>
      <c r="G868" s="2">
        <f>HYPERLINK("http://www.newsis.com/view/?id=NISI20210520_0017472805", "Go to Website")</f>
        <v/>
      </c>
      <c r="H868" t="inlineStr"/>
      <c r="I868" t="inlineStr">
        <is>
          <t>100</t>
        </is>
      </c>
      <c r="J868" s="3" t="n">
        <v>0.999</v>
      </c>
      <c r="K868" t="inlineStr">
        <is>
          <t>분류 제외, 기타</t>
        </is>
      </c>
      <c r="L868" t="inlineStr"/>
      <c r="M868" t="inlineStr"/>
      <c r="N868" t="inlineStr"/>
    </row>
    <row r="869">
      <c r="A869" s="1" t="inlineStr">
        <is>
          <t>2021-05-20</t>
        </is>
      </c>
      <c r="B869" t="inlineStr">
        <is>
          <t>news</t>
        </is>
      </c>
      <c r="C869" t="inlineStr">
        <is>
          <t>economy</t>
        </is>
      </c>
      <c r="D869" t="inlineStr">
        <is>
          <t>뉴시스</t>
        </is>
      </c>
      <c r="E869" t="inlineStr"/>
      <c r="F869" t="inlineStr">
        <is>
          <t>아우디 순수 전기차 e-트론 GT·RS e-트론 GT 국내 프리뷰</t>
        </is>
      </c>
      <c r="G869" s="2">
        <f>HYPERLINK("http://www.newsis.com/view/?id=NISI20210520_0017472804", "Go to Website")</f>
        <v/>
      </c>
      <c r="H869" t="inlineStr"/>
      <c r="I869" t="inlineStr">
        <is>
          <t>100</t>
        </is>
      </c>
      <c r="J869" s="3" t="n">
        <v>0.869</v>
      </c>
      <c r="K869" t="inlineStr">
        <is>
          <t>분류 제외, 기타</t>
        </is>
      </c>
      <c r="L869" t="inlineStr">
        <is>
          <t>1</t>
        </is>
      </c>
      <c r="M869" s="3" t="n">
        <v>0.956</v>
      </c>
      <c r="N869" t="inlineStr">
        <is>
          <t>긍정</t>
        </is>
      </c>
    </row>
    <row r="870">
      <c r="A870" s="1" t="inlineStr">
        <is>
          <t>2021-05-20</t>
        </is>
      </c>
      <c r="B870" t="inlineStr">
        <is>
          <t>news</t>
        </is>
      </c>
      <c r="C870" t="inlineStr">
        <is>
          <t>economy</t>
        </is>
      </c>
      <c r="D870" t="inlineStr">
        <is>
          <t>뉴시스</t>
        </is>
      </c>
      <c r="E870" t="inlineStr"/>
      <c r="F870" t="inlineStr">
        <is>
          <t>아우디 순수 전기차 e-트론 GT·RS e-트론에 가죽 대신 재활용 소재 활용</t>
        </is>
      </c>
      <c r="G870" s="2">
        <f>HYPERLINK("http://www.newsis.com/view/?id=NISI20210520_0017472803", "Go to Website")</f>
        <v/>
      </c>
      <c r="H870" t="inlineStr"/>
      <c r="I870" t="inlineStr">
        <is>
          <t>100</t>
        </is>
      </c>
      <c r="J870" s="3" t="n">
        <v>0.838</v>
      </c>
      <c r="K870" t="inlineStr">
        <is>
          <t>분류 제외, 기타</t>
        </is>
      </c>
      <c r="L870" t="inlineStr"/>
      <c r="M870" t="inlineStr"/>
      <c r="N870" t="inlineStr"/>
    </row>
    <row r="871">
      <c r="A871" s="1" t="inlineStr">
        <is>
          <t>2021-05-20</t>
        </is>
      </c>
      <c r="B871" t="inlineStr">
        <is>
          <t>news</t>
        </is>
      </c>
      <c r="C871" t="inlineStr">
        <is>
          <t>economy</t>
        </is>
      </c>
      <c r="D871" t="inlineStr">
        <is>
          <t>뉴시스</t>
        </is>
      </c>
      <c r="E871" t="inlineStr"/>
      <c r="F871" t="inlineStr">
        <is>
          <t>아우디 순수 전기차 e-트론 GT·RS e-트론 GT 소개하는 제프 매너링 사장</t>
        </is>
      </c>
      <c r="G871" s="2">
        <f>HYPERLINK("http://www.newsis.com/view/?id=NISI20210520_0017472802", "Go to Website")</f>
        <v/>
      </c>
      <c r="H871" t="inlineStr"/>
      <c r="I871" t="inlineStr">
        <is>
          <t>100</t>
        </is>
      </c>
      <c r="J871" s="3" t="n">
        <v>0.8</v>
      </c>
      <c r="K871" t="inlineStr">
        <is>
          <t>분류 제외, 기타</t>
        </is>
      </c>
      <c r="L871" t="inlineStr">
        <is>
          <t>1</t>
        </is>
      </c>
      <c r="M871" s="3" t="n">
        <v>0.806</v>
      </c>
      <c r="N871" t="inlineStr">
        <is>
          <t>긍정</t>
        </is>
      </c>
    </row>
    <row r="872">
      <c r="A872" s="1" t="inlineStr">
        <is>
          <t>2021-05-20</t>
        </is>
      </c>
      <c r="B872" t="inlineStr">
        <is>
          <t>news</t>
        </is>
      </c>
      <c r="C872" t="inlineStr">
        <is>
          <t>economy</t>
        </is>
      </c>
      <c r="D872" t="inlineStr">
        <is>
          <t>뉴시스</t>
        </is>
      </c>
      <c r="E872" t="inlineStr"/>
      <c r="F872" t="inlineStr">
        <is>
          <t>아우디 순수 전기차 e-트론 GT·RS e-트론 GT 소개하는 제프 매너링 사장</t>
        </is>
      </c>
      <c r="G872" s="2">
        <f>HYPERLINK("http://www.newsis.com/view/?id=NISI20210520_0017472801", "Go to Website")</f>
        <v/>
      </c>
      <c r="H872" t="inlineStr"/>
      <c r="I872" t="inlineStr">
        <is>
          <t>100</t>
        </is>
      </c>
      <c r="J872" s="3" t="n">
        <v>0.871</v>
      </c>
      <c r="K872" t="inlineStr">
        <is>
          <t>분류 제외, 기타</t>
        </is>
      </c>
      <c r="L872" t="inlineStr">
        <is>
          <t>1</t>
        </is>
      </c>
      <c r="M872" s="3" t="n">
        <v>0.828</v>
      </c>
      <c r="N872" t="inlineStr">
        <is>
          <t>긍정</t>
        </is>
      </c>
    </row>
    <row r="873">
      <c r="A873" s="1" t="inlineStr">
        <is>
          <t>2021-05-20</t>
        </is>
      </c>
      <c r="B873" t="inlineStr">
        <is>
          <t>news</t>
        </is>
      </c>
      <c r="C873" t="inlineStr">
        <is>
          <t>economy</t>
        </is>
      </c>
      <c r="D873" t="inlineStr">
        <is>
          <t>데일리안</t>
        </is>
      </c>
      <c r="E873" t="inlineStr">
        <is>
          <t>조인영</t>
        </is>
      </c>
      <c r="F873" t="inlineStr">
        <is>
          <t>아우디, 전기차 'e트론 GT' 'RS e트론 GT' 韓에 첫 공개</t>
        </is>
      </c>
      <c r="G873" s="2">
        <f>HYPERLINK("https://www.dailian.co.kr/news/view/993083/", "Go to Website")</f>
        <v/>
      </c>
      <c r="H873" t="inlineStr"/>
      <c r="I873" t="inlineStr">
        <is>
          <t>100</t>
        </is>
      </c>
      <c r="J873" s="3" t="n">
        <v>0.984</v>
      </c>
      <c r="K873" t="inlineStr">
        <is>
          <t>분류 제외, 기타</t>
        </is>
      </c>
      <c r="L873" t="inlineStr">
        <is>
          <t>1</t>
        </is>
      </c>
      <c r="M873" s="3" t="n">
        <v>0.981</v>
      </c>
      <c r="N873" t="inlineStr">
        <is>
          <t>긍정</t>
        </is>
      </c>
    </row>
    <row r="874">
      <c r="A874" s="1" t="inlineStr">
        <is>
          <t>2021-05-20</t>
        </is>
      </c>
      <c r="B874" t="inlineStr">
        <is>
          <t>news</t>
        </is>
      </c>
      <c r="C874" t="inlineStr">
        <is>
          <t>tech</t>
        </is>
      </c>
      <c r="D874" t="inlineStr">
        <is>
          <t>블로터</t>
        </is>
      </c>
      <c r="E874" t="inlineStr">
        <is>
          <t>구태우</t>
        </is>
      </c>
      <c r="F874" t="inlineStr">
        <is>
          <t>[EV·수소 밸류체인]SK이노 배터리, '픽업트럭 강자' 포드에 탑재...합작공장 초읽기</t>
        </is>
      </c>
      <c r="G874" s="2">
        <f>HYPERLINK("http://www.bloter.net/newsView/blt202105200013", "Go to Website")</f>
        <v/>
      </c>
      <c r="H874" t="inlineStr"/>
      <c r="I874" t="inlineStr"/>
      <c r="J874" t="inlineStr"/>
      <c r="K874" t="inlineStr"/>
      <c r="L874" t="inlineStr"/>
      <c r="M874" t="inlineStr"/>
      <c r="N874" t="inlineStr"/>
    </row>
    <row r="875">
      <c r="A875" s="1" t="inlineStr">
        <is>
          <t>2021-05-20</t>
        </is>
      </c>
      <c r="B875" t="inlineStr">
        <is>
          <t>news</t>
        </is>
      </c>
      <c r="C875" t="inlineStr">
        <is>
          <t>economy</t>
        </is>
      </c>
      <c r="D875" t="inlineStr">
        <is>
          <t>헤럴드경제</t>
        </is>
      </c>
      <c r="E875" t="inlineStr">
        <is>
          <t>이정환</t>
        </is>
      </c>
      <c r="F875" t="inlineStr">
        <is>
          <t>비테스코 테크놀로지스, 미래 모빌리티 기업으로 급부상</t>
        </is>
      </c>
      <c r="G875" s="2">
        <f>HYPERLINK("http://news.heraldcorp.com/view.php?ud=20210520000731", "Go to Website")</f>
        <v/>
      </c>
      <c r="H875" t="inlineStr"/>
      <c r="I875" t="inlineStr">
        <is>
          <t>C14</t>
        </is>
      </c>
      <c r="J875" s="3" t="n">
        <v>0.723</v>
      </c>
      <c r="K875" t="inlineStr">
        <is>
          <t>의복, 의복 액세서리 및 모피제품 제조업</t>
        </is>
      </c>
      <c r="L875" t="inlineStr"/>
      <c r="M875" t="inlineStr"/>
      <c r="N875" t="inlineStr"/>
    </row>
    <row r="876">
      <c r="A876" s="1" t="inlineStr">
        <is>
          <t>2021-05-20</t>
        </is>
      </c>
      <c r="B876" t="inlineStr">
        <is>
          <t>news</t>
        </is>
      </c>
      <c r="C876" t="inlineStr">
        <is>
          <t>economy</t>
        </is>
      </c>
      <c r="D876" t="inlineStr">
        <is>
          <t>전자신문</t>
        </is>
      </c>
      <c r="E876" t="inlineStr">
        <is>
          <t>함봉균</t>
        </is>
      </c>
      <c r="F876" t="inlineStr">
        <is>
          <t>롯데케미칼, 배터리 소재 '전해액 유기용매' 생산시설 건설...2100억원 투자</t>
        </is>
      </c>
      <c r="G876" s="2">
        <f>HYPERLINK("http://www.etnews.com/20210520000166", "Go to Website")</f>
        <v/>
      </c>
      <c r="H876" t="inlineStr"/>
      <c r="I876" t="inlineStr">
        <is>
          <t>C20</t>
        </is>
      </c>
      <c r="J876" s="3" t="n">
        <v>1</v>
      </c>
      <c r="K876" t="inlineStr">
        <is>
          <t>화학 물질 및 화학제품 제조업; 의약품 제외</t>
        </is>
      </c>
      <c r="L876" t="inlineStr">
        <is>
          <t>1</t>
        </is>
      </c>
      <c r="M876" s="3" t="n">
        <v>0.918</v>
      </c>
      <c r="N876" t="inlineStr">
        <is>
          <t>긍정</t>
        </is>
      </c>
    </row>
    <row r="877">
      <c r="A877" s="1" t="inlineStr">
        <is>
          <t>2021-05-20</t>
        </is>
      </c>
      <c r="B877" t="inlineStr">
        <is>
          <t>news</t>
        </is>
      </c>
      <c r="C877" t="inlineStr">
        <is>
          <t>economy</t>
        </is>
      </c>
      <c r="D877" t="inlineStr">
        <is>
          <t>한국경제TV</t>
        </is>
      </c>
      <c r="E877" t="inlineStr">
        <is>
          <t>송민화</t>
        </is>
      </c>
      <c r="F877" t="inlineStr">
        <is>
          <t>포스코, 호주 니켈 광산회사 지분 인수…"연 3.2만톤 규모"</t>
        </is>
      </c>
      <c r="G877" s="2">
        <f>HYPERLINK("http://www.wowtv.co.kr/NewsCenter/News/Read?articleId=A202105200245&amp;t=NN", "Go to Website")</f>
        <v/>
      </c>
      <c r="H877" t="inlineStr"/>
      <c r="I877" t="inlineStr">
        <is>
          <t>C24</t>
        </is>
      </c>
      <c r="J877" s="3" t="n">
        <v>0.999</v>
      </c>
      <c r="K877" t="inlineStr">
        <is>
          <t>1차 금속 제조업</t>
        </is>
      </c>
      <c r="L877" t="inlineStr">
        <is>
          <t>0</t>
        </is>
      </c>
      <c r="M877" s="3" t="n">
        <v>0.78</v>
      </c>
      <c r="N877" t="inlineStr">
        <is>
          <t>중립</t>
        </is>
      </c>
    </row>
    <row r="878">
      <c r="A878" s="1" t="inlineStr">
        <is>
          <t>2021-05-20</t>
        </is>
      </c>
      <c r="B878" t="inlineStr">
        <is>
          <t>news</t>
        </is>
      </c>
      <c r="C878" t="inlineStr">
        <is>
          <t>economy</t>
        </is>
      </c>
      <c r="D878" t="inlineStr">
        <is>
          <t>스포츠조선</t>
        </is>
      </c>
      <c r="E878" t="inlineStr">
        <is>
          <t>김세형</t>
        </is>
      </c>
      <c r="F878" t="inlineStr">
        <is>
          <t>포스코, 호주 이차전지용 니켈 광산회사 지분 인수</t>
        </is>
      </c>
      <c r="G878" s="2">
        <f>HYPERLINK("http://sports.chosun.com/news/ntype.htm?id=202105200100155350010169&amp;servicedate=20210520", "Go to Website")</f>
        <v/>
      </c>
      <c r="H878" t="inlineStr"/>
      <c r="I878" t="inlineStr">
        <is>
          <t>C24</t>
        </is>
      </c>
      <c r="J878" s="3" t="n">
        <v>1</v>
      </c>
      <c r="K878" t="inlineStr">
        <is>
          <t>1차 금속 제조업</t>
        </is>
      </c>
      <c r="L878" t="inlineStr">
        <is>
          <t>1</t>
        </is>
      </c>
      <c r="M878" s="3" t="n">
        <v>0.481</v>
      </c>
      <c r="N878" t="inlineStr">
        <is>
          <t>긍정</t>
        </is>
      </c>
    </row>
    <row r="879">
      <c r="A879" s="1" t="inlineStr">
        <is>
          <t>2021-05-20</t>
        </is>
      </c>
      <c r="B879" t="inlineStr">
        <is>
          <t>news</t>
        </is>
      </c>
      <c r="C879" t="inlineStr">
        <is>
          <t>economy</t>
        </is>
      </c>
      <c r="D879" t="inlineStr">
        <is>
          <t>한겨레</t>
        </is>
      </c>
      <c r="E879" t="inlineStr">
        <is>
          <t>이경미</t>
        </is>
      </c>
      <c r="F879" t="inlineStr">
        <is>
          <t>신한금융, 2030년까지 모든 업무용 차량 전기·수소차로 전환</t>
        </is>
      </c>
      <c r="G879" s="2">
        <f>HYPERLINK("http://www.hani.co.kr/arti/economy/finance/995965.html", "Go to Website")</f>
        <v/>
      </c>
      <c r="H879" t="inlineStr"/>
      <c r="I879" t="inlineStr">
        <is>
          <t>C28</t>
        </is>
      </c>
      <c r="J879" s="3" t="n">
        <v>0.76</v>
      </c>
      <c r="K879" t="inlineStr">
        <is>
          <t>전기장비 제조업</t>
        </is>
      </c>
      <c r="L879" t="inlineStr">
        <is>
          <t>0</t>
        </is>
      </c>
      <c r="M879" s="3" t="n">
        <v>0.9350000000000001</v>
      </c>
      <c r="N879" t="inlineStr">
        <is>
          <t>중립</t>
        </is>
      </c>
    </row>
    <row r="880">
      <c r="A880" s="1" t="inlineStr">
        <is>
          <t>2021-05-20</t>
        </is>
      </c>
      <c r="B880" t="inlineStr">
        <is>
          <t>news</t>
        </is>
      </c>
      <c r="C880" t="inlineStr">
        <is>
          <t>economy</t>
        </is>
      </c>
      <c r="D880" t="inlineStr">
        <is>
          <t>더팩트</t>
        </is>
      </c>
      <c r="E880" t="inlineStr"/>
      <c r="F880" t="inlineStr">
        <is>
          <t>포스코, 호주 광산회사 지분 인수…연 3만2000톤 규모 니켈 확보</t>
        </is>
      </c>
      <c r="G880" s="2">
        <f>HYPERLINK("http://news.tf.co.kr/read/economy/1862274.htm", "Go to Website")</f>
        <v/>
      </c>
      <c r="H880" t="inlineStr"/>
      <c r="I880" t="inlineStr">
        <is>
          <t>C24</t>
        </is>
      </c>
      <c r="J880" s="3" t="n">
        <v>1</v>
      </c>
      <c r="K880" t="inlineStr">
        <is>
          <t>1차 금속 제조업</t>
        </is>
      </c>
      <c r="L880" t="inlineStr">
        <is>
          <t>0</t>
        </is>
      </c>
      <c r="M880" s="3" t="n">
        <v>0.883</v>
      </c>
      <c r="N880" t="inlineStr">
        <is>
          <t>중립</t>
        </is>
      </c>
    </row>
    <row r="881">
      <c r="A881" s="1" t="inlineStr">
        <is>
          <t>2021-05-20</t>
        </is>
      </c>
      <c r="B881" t="inlineStr">
        <is>
          <t>news</t>
        </is>
      </c>
      <c r="C881" t="inlineStr">
        <is>
          <t>economy</t>
        </is>
      </c>
      <c r="D881" t="inlineStr">
        <is>
          <t>파이낸셜뉴스</t>
        </is>
      </c>
      <c r="E881" t="inlineStr">
        <is>
          <t>안태호</t>
        </is>
      </c>
      <c r="F881" t="inlineStr">
        <is>
          <t>롯데케미칼, 車배터리 전해액 유기용매 국산화 추진..2100억 투자</t>
        </is>
      </c>
      <c r="G881" s="2">
        <f>HYPERLINK("http://www.fnnews.com/news/202105201403506595", "Go to Website")</f>
        <v/>
      </c>
      <c r="H881" t="inlineStr"/>
      <c r="I881" t="inlineStr">
        <is>
          <t>C20</t>
        </is>
      </c>
      <c r="J881" s="3" t="n">
        <v>1</v>
      </c>
      <c r="K881" t="inlineStr">
        <is>
          <t>화학 물질 및 화학제품 제조업; 의약품 제외</t>
        </is>
      </c>
      <c r="L881" t="inlineStr">
        <is>
          <t>1</t>
        </is>
      </c>
      <c r="M881" s="3" t="n">
        <v>0.911</v>
      </c>
      <c r="N881" t="inlineStr">
        <is>
          <t>긍정</t>
        </is>
      </c>
    </row>
    <row r="882">
      <c r="A882" s="1" t="inlineStr">
        <is>
          <t>2021-05-20</t>
        </is>
      </c>
      <c r="B882" t="inlineStr">
        <is>
          <t>news</t>
        </is>
      </c>
      <c r="C882" t="inlineStr">
        <is>
          <t>economy</t>
        </is>
      </c>
      <c r="D882" t="inlineStr">
        <is>
          <t>이데일리</t>
        </is>
      </c>
      <c r="E882" t="inlineStr">
        <is>
          <t>이대호</t>
        </is>
      </c>
      <c r="F882" t="inlineStr">
        <is>
          <t>롯데케미칼, 대산·울산공장 내 총 2870억원 시설 투자</t>
        </is>
      </c>
      <c r="G882" s="2">
        <f>HYPERLINK("http://www.edaily.co.kr/news/newspath.asp?newsid=03093046629050888", "Go to Website")</f>
        <v/>
      </c>
      <c r="H882" t="inlineStr"/>
      <c r="I882" t="inlineStr">
        <is>
          <t>C20</t>
        </is>
      </c>
      <c r="J882" s="3" t="n">
        <v>0.999</v>
      </c>
      <c r="K882" t="inlineStr">
        <is>
          <t>화학 물질 및 화학제품 제조업; 의약품 제외</t>
        </is>
      </c>
      <c r="L882" t="inlineStr">
        <is>
          <t>1</t>
        </is>
      </c>
      <c r="M882" s="3" t="n">
        <v>0.893</v>
      </c>
      <c r="N882" t="inlineStr">
        <is>
          <t>긍정</t>
        </is>
      </c>
    </row>
    <row r="883">
      <c r="A883" s="1" t="inlineStr">
        <is>
          <t>2021-05-20</t>
        </is>
      </c>
      <c r="B883" t="inlineStr">
        <is>
          <t>news</t>
        </is>
      </c>
      <c r="C883" t="inlineStr">
        <is>
          <t>economy</t>
        </is>
      </c>
      <c r="D883" t="inlineStr">
        <is>
          <t>디지털타임스</t>
        </is>
      </c>
      <c r="E883" t="inlineStr">
        <is>
          <t>박상길</t>
        </is>
      </c>
      <c r="F883" t="inlineStr">
        <is>
          <t>코오롱글로벌, 홈 IoT 플랫폼 `스마트 하늘채 IoK` 서비스 고도화</t>
        </is>
      </c>
      <c r="G883" s="2">
        <f>HYPERLINK("http://www.dt.co.kr/contents.html?article_no=2021052102101332036001", "Go to Website")</f>
        <v/>
      </c>
      <c r="H883" t="inlineStr"/>
      <c r="I883" t="inlineStr">
        <is>
          <t>K64</t>
        </is>
      </c>
      <c r="J883" s="3" t="n">
        <v>0.7</v>
      </c>
      <c r="K883" t="inlineStr">
        <is>
          <t>금융업</t>
        </is>
      </c>
      <c r="L883" t="inlineStr">
        <is>
          <t>0</t>
        </is>
      </c>
      <c r="M883" s="3" t="n">
        <v>0.924</v>
      </c>
      <c r="N883" t="inlineStr">
        <is>
          <t>중립</t>
        </is>
      </c>
    </row>
    <row r="884">
      <c r="A884" s="1" t="inlineStr">
        <is>
          <t>2021-05-20</t>
        </is>
      </c>
      <c r="B884" t="inlineStr">
        <is>
          <t>news</t>
        </is>
      </c>
      <c r="C884" t="inlineStr">
        <is>
          <t>economy</t>
        </is>
      </c>
      <c r="D884" t="inlineStr">
        <is>
          <t>이데일리</t>
        </is>
      </c>
      <c r="E884" t="inlineStr">
        <is>
          <t>경계영</t>
        </is>
      </c>
      <c r="F884" t="inlineStr">
        <is>
          <t>롯데케미칼, 전기차 배터리 소재 사업에 본격 진출…2100억원 투자</t>
        </is>
      </c>
      <c r="G884" s="2">
        <f>HYPERLINK("http://www.edaily.co.kr/news/newspath.asp?newsid=03099606629050888", "Go to Website")</f>
        <v/>
      </c>
      <c r="H884" t="inlineStr"/>
      <c r="I884" t="inlineStr">
        <is>
          <t>C20</t>
        </is>
      </c>
      <c r="J884" s="3" t="n">
        <v>1</v>
      </c>
      <c r="K884" t="inlineStr">
        <is>
          <t>화학 물질 및 화학제품 제조업; 의약품 제외</t>
        </is>
      </c>
      <c r="L884" t="inlineStr">
        <is>
          <t>1</t>
        </is>
      </c>
      <c r="M884" s="3" t="n">
        <v>1</v>
      </c>
      <c r="N884" t="inlineStr">
        <is>
          <t>긍정</t>
        </is>
      </c>
    </row>
    <row r="885">
      <c r="A885" s="1" t="inlineStr">
        <is>
          <t>2021-05-20</t>
        </is>
      </c>
      <c r="B885" t="inlineStr">
        <is>
          <t>news</t>
        </is>
      </c>
      <c r="C885" t="inlineStr">
        <is>
          <t>economy</t>
        </is>
      </c>
      <c r="D885" t="inlineStr">
        <is>
          <t>헤럴드경제</t>
        </is>
      </c>
      <c r="E885" t="inlineStr">
        <is>
          <t>홍승희</t>
        </is>
      </c>
      <c r="F885" t="inlineStr">
        <is>
          <t>신한금융, 2030년까지 모든 업무용 차량 무공해차로</t>
        </is>
      </c>
      <c r="G885" s="2">
        <f>HYPERLINK("http://news.heraldcorp.com/view.php?ud=20210520000716", "Go to Website")</f>
        <v/>
      </c>
      <c r="H885" t="inlineStr"/>
      <c r="I885" t="inlineStr">
        <is>
          <t>C28</t>
        </is>
      </c>
      <c r="J885" s="3" t="n">
        <v>0.924</v>
      </c>
      <c r="K885" t="inlineStr">
        <is>
          <t>전기장비 제조업</t>
        </is>
      </c>
      <c r="L885" t="inlineStr">
        <is>
          <t>0</t>
        </is>
      </c>
      <c r="M885" s="3" t="n">
        <v>0.997</v>
      </c>
      <c r="N885" t="inlineStr">
        <is>
          <t>중립</t>
        </is>
      </c>
    </row>
    <row r="886">
      <c r="A886" s="1" t="inlineStr">
        <is>
          <t>2021-05-20</t>
        </is>
      </c>
      <c r="B886" t="inlineStr">
        <is>
          <t>news</t>
        </is>
      </c>
      <c r="C886" t="inlineStr">
        <is>
          <t>economy</t>
        </is>
      </c>
      <c r="D886" t="inlineStr">
        <is>
          <t>조세일보</t>
        </is>
      </c>
      <c r="E886" t="inlineStr"/>
      <c r="F886" t="inlineStr">
        <is>
          <t>신한금융그룹, Zero Carbon·Zero Fuel 선언</t>
        </is>
      </c>
      <c r="G886" s="2">
        <f>HYPERLINK("http://www.joseilbo.com/news/news_read.php?uid=424058&amp;class=51", "Go to Website")</f>
        <v/>
      </c>
      <c r="H886" t="inlineStr"/>
      <c r="I886" t="inlineStr">
        <is>
          <t>C28</t>
        </is>
      </c>
      <c r="J886" s="3" t="n">
        <v>0.775</v>
      </c>
      <c r="K886" t="inlineStr">
        <is>
          <t>전기장비 제조업</t>
        </is>
      </c>
      <c r="L886" t="inlineStr">
        <is>
          <t>0</t>
        </is>
      </c>
      <c r="M886" s="3" t="n">
        <v>0.988</v>
      </c>
      <c r="N886" t="inlineStr">
        <is>
          <t>중립</t>
        </is>
      </c>
    </row>
    <row r="887">
      <c r="A887" s="1" t="inlineStr">
        <is>
          <t>2021-05-20</t>
        </is>
      </c>
      <c r="B887" t="inlineStr">
        <is>
          <t>news</t>
        </is>
      </c>
      <c r="C887" t="inlineStr">
        <is>
          <t>economy</t>
        </is>
      </c>
      <c r="D887" t="inlineStr">
        <is>
          <t>서울경제</t>
        </is>
      </c>
      <c r="E887" t="inlineStr">
        <is>
          <t>한동희</t>
        </is>
      </c>
      <c r="F887" t="inlineStr">
        <is>
          <t>현대차·기아, 유럽 질주···4월 판매량 전년보다 4배 늘어</t>
        </is>
      </c>
      <c r="G887" s="2">
        <f>HYPERLINK("https://www.sedaily.com/NewsView/22MFMMCWLD", "Go to Website")</f>
        <v/>
      </c>
      <c r="H887" t="inlineStr"/>
      <c r="I887" t="inlineStr">
        <is>
          <t>C30</t>
        </is>
      </c>
      <c r="J887" s="3" t="n">
        <v>0.971</v>
      </c>
      <c r="K887" t="inlineStr">
        <is>
          <t>자동차 및 트레일러 제조업</t>
        </is>
      </c>
      <c r="L887" t="inlineStr"/>
      <c r="M887" t="inlineStr"/>
      <c r="N887" t="inlineStr"/>
    </row>
    <row r="888">
      <c r="A888" s="1" t="inlineStr">
        <is>
          <t>2021-05-20</t>
        </is>
      </c>
      <c r="B888" t="inlineStr">
        <is>
          <t>news</t>
        </is>
      </c>
      <c r="C888" t="inlineStr">
        <is>
          <t>economy</t>
        </is>
      </c>
      <c r="D888" t="inlineStr">
        <is>
          <t>서울경제</t>
        </is>
      </c>
      <c r="E888" t="inlineStr">
        <is>
          <t>변수연</t>
        </is>
      </c>
      <c r="F888" t="inlineStr">
        <is>
          <t>람보르기니, 2024년까지 한화 2조원 투자해 전 라인업 전동화</t>
        </is>
      </c>
      <c r="G888" s="2">
        <f>HYPERLINK("https://www.sedaily.com/NewsView/22MFMFXCCX", "Go to Website")</f>
        <v/>
      </c>
      <c r="H888" t="inlineStr"/>
      <c r="I888" t="inlineStr">
        <is>
          <t>C30</t>
        </is>
      </c>
      <c r="J888" s="3" t="n">
        <v>0.999</v>
      </c>
      <c r="K888" t="inlineStr">
        <is>
          <t>자동차 및 트레일러 제조업</t>
        </is>
      </c>
      <c r="L888" t="inlineStr">
        <is>
          <t>0</t>
        </is>
      </c>
      <c r="M888" s="3" t="n">
        <v>0.5</v>
      </c>
      <c r="N888" t="inlineStr">
        <is>
          <t>중립</t>
        </is>
      </c>
    </row>
    <row r="889">
      <c r="A889" s="1" t="inlineStr">
        <is>
          <t>2021-05-20</t>
        </is>
      </c>
      <c r="B889" t="inlineStr">
        <is>
          <t>news</t>
        </is>
      </c>
      <c r="C889" t="inlineStr">
        <is>
          <t>economy</t>
        </is>
      </c>
      <c r="D889" t="inlineStr">
        <is>
          <t>머니S</t>
        </is>
      </c>
      <c r="E889" t="inlineStr">
        <is>
          <t>이지운</t>
        </is>
      </c>
      <c r="F889" t="inlineStr">
        <is>
          <t>[특징주] 나라엠앤디, LG화학 '니켈90%' 신형배터리 테슬라 최초 공급에 협력사 부각</t>
        </is>
      </c>
      <c r="G889" s="2">
        <f>HYPERLINK("http://moneys.mt.co.kr/news/mwView.php?no=2021052014098049358", "Go to Website")</f>
        <v/>
      </c>
      <c r="H889" t="inlineStr"/>
      <c r="I889" t="inlineStr">
        <is>
          <t>C20</t>
        </is>
      </c>
      <c r="J889" s="3" t="n">
        <v>0.999</v>
      </c>
      <c r="K889" t="inlineStr">
        <is>
          <t>화학 물질 및 화학제품 제조업; 의약품 제외</t>
        </is>
      </c>
      <c r="L889" t="inlineStr"/>
      <c r="M889" t="inlineStr"/>
      <c r="N889" t="inlineStr"/>
    </row>
    <row r="890">
      <c r="A890" s="1" t="inlineStr">
        <is>
          <t>2021-05-20</t>
        </is>
      </c>
      <c r="B890" t="inlineStr">
        <is>
          <t>news</t>
        </is>
      </c>
      <c r="C890" t="inlineStr">
        <is>
          <t>economy</t>
        </is>
      </c>
      <c r="D890" t="inlineStr">
        <is>
          <t>데일리안</t>
        </is>
      </c>
      <c r="E890" t="inlineStr">
        <is>
          <t>조인영</t>
        </is>
      </c>
      <c r="F890" t="inlineStr">
        <is>
          <t>롯데케미칼, 배터리용 전해액 유기용매 사업 나선다…2100억 투자</t>
        </is>
      </c>
      <c r="G890" s="2">
        <f>HYPERLINK("https://www.dailian.co.kr/news/view/993099/", "Go to Website")</f>
        <v/>
      </c>
      <c r="H890" t="inlineStr"/>
      <c r="I890" t="inlineStr">
        <is>
          <t>C20</t>
        </is>
      </c>
      <c r="J890" s="3" t="n">
        <v>1</v>
      </c>
      <c r="K890" t="inlineStr">
        <is>
          <t>화학 물질 및 화학제품 제조업; 의약품 제외</t>
        </is>
      </c>
      <c r="L890" t="inlineStr">
        <is>
          <t>1</t>
        </is>
      </c>
      <c r="M890" s="3" t="n">
        <v>0.6929999999999999</v>
      </c>
      <c r="N890" t="inlineStr">
        <is>
          <t>긍정</t>
        </is>
      </c>
    </row>
    <row r="891">
      <c r="A891" s="1" t="inlineStr">
        <is>
          <t>2021-05-20</t>
        </is>
      </c>
      <c r="B891" t="inlineStr">
        <is>
          <t>news</t>
        </is>
      </c>
      <c r="C891" t="inlineStr">
        <is>
          <t>economy</t>
        </is>
      </c>
      <c r="D891" t="inlineStr">
        <is>
          <t>더팩트</t>
        </is>
      </c>
      <c r="E891" t="inlineStr">
        <is>
          <t>서재근</t>
        </is>
      </c>
      <c r="F891" t="inlineStr">
        <is>
          <t>송사 마침표 SK이노, 포드와 전기차 베터리셀 합작법인 설립한다</t>
        </is>
      </c>
      <c r="G891" s="2">
        <f>HYPERLINK("http://news.tf.co.kr/read/economy/1862270.htm", "Go to Website")</f>
        <v/>
      </c>
      <c r="H891" t="inlineStr"/>
      <c r="I891" t="inlineStr">
        <is>
          <t>C26</t>
        </is>
      </c>
      <c r="J891" s="3" t="n">
        <v>0.782</v>
      </c>
      <c r="K891" t="inlineStr">
        <is>
          <t>전자 부품, 컴퓨터, 영상, 음향 및 통신장비 제조업</t>
        </is>
      </c>
      <c r="L891" t="inlineStr">
        <is>
          <t>1</t>
        </is>
      </c>
      <c r="M891" s="3" t="n">
        <v>0.827</v>
      </c>
      <c r="N891" t="inlineStr">
        <is>
          <t>긍정</t>
        </is>
      </c>
    </row>
    <row r="892">
      <c r="A892" s="1" t="inlineStr">
        <is>
          <t>2021-05-20</t>
        </is>
      </c>
      <c r="B892" t="inlineStr">
        <is>
          <t>news</t>
        </is>
      </c>
      <c r="C892" t="inlineStr">
        <is>
          <t>economy</t>
        </is>
      </c>
      <c r="D892" t="inlineStr">
        <is>
          <t>아시아경제</t>
        </is>
      </c>
      <c r="E892" t="inlineStr">
        <is>
          <t>이민지</t>
        </is>
      </c>
      <c r="F892" t="inlineStr">
        <is>
          <t>롯데케미칼, 2900억 규모 신규시설투자 결정</t>
        </is>
      </c>
      <c r="G892" s="2">
        <f>HYPERLINK("https://view.asiae.co.kr/article/2021052014085421151", "Go to Website")</f>
        <v/>
      </c>
      <c r="H892" t="inlineStr"/>
      <c r="I892" t="inlineStr">
        <is>
          <t>C20</t>
        </is>
      </c>
      <c r="J892" s="3" t="n">
        <v>0.968</v>
      </c>
      <c r="K892" t="inlineStr">
        <is>
          <t>화학 물질 및 화학제품 제조업; 의약품 제외</t>
        </is>
      </c>
      <c r="L892" t="inlineStr">
        <is>
          <t>1</t>
        </is>
      </c>
      <c r="M892" s="3" t="n">
        <v>0.978</v>
      </c>
      <c r="N892" t="inlineStr">
        <is>
          <t>긍정</t>
        </is>
      </c>
    </row>
    <row r="893">
      <c r="A893" s="1" t="inlineStr">
        <is>
          <t>2021-05-20</t>
        </is>
      </c>
      <c r="B893" t="inlineStr">
        <is>
          <t>news</t>
        </is>
      </c>
      <c r="C893" t="inlineStr">
        <is>
          <t>tech</t>
        </is>
      </c>
      <c r="D893" t="inlineStr">
        <is>
          <t>ZDNet Korea</t>
        </is>
      </c>
      <c r="E893" t="inlineStr">
        <is>
          <t>손예술</t>
        </is>
      </c>
      <c r="F893" t="inlineStr">
        <is>
          <t>신한금융, 2030년까지 무공해차로 업무용 차량 100% 전환</t>
        </is>
      </c>
      <c r="G893" s="2">
        <f>HYPERLINK("https://zdnet.co.kr/view/?no=20210520135340", "Go to Website")</f>
        <v/>
      </c>
      <c r="H893" t="inlineStr"/>
      <c r="I893" t="inlineStr"/>
      <c r="J893" t="inlineStr"/>
      <c r="K893" t="inlineStr"/>
      <c r="L893" t="inlineStr"/>
      <c r="M893" t="inlineStr"/>
      <c r="N893" t="inlineStr"/>
    </row>
    <row r="894">
      <c r="A894" s="1" t="inlineStr">
        <is>
          <t>2021-05-20</t>
        </is>
      </c>
      <c r="B894" t="inlineStr">
        <is>
          <t>news</t>
        </is>
      </c>
      <c r="C894" t="inlineStr">
        <is>
          <t>economy</t>
        </is>
      </c>
      <c r="D894" t="inlineStr">
        <is>
          <t>아이뉴스24</t>
        </is>
      </c>
      <c r="E894" t="inlineStr">
        <is>
          <t>민혜정</t>
        </is>
      </c>
      <c r="F894" t="inlineStr">
        <is>
          <t>[故 구본무 회장 3주기] ㊦ 승부사 경영 계승한 구광모…'뉴LG'로 날개</t>
        </is>
      </c>
      <c r="G894" s="2">
        <f>HYPERLINK("http://www.inews24.com/view/1368568", "Go to Website")</f>
        <v/>
      </c>
      <c r="H894" t="inlineStr"/>
      <c r="I894" t="inlineStr">
        <is>
          <t>100</t>
        </is>
      </c>
      <c r="J894" s="3" t="n">
        <v>0.5669999999999999</v>
      </c>
      <c r="K894" t="inlineStr">
        <is>
          <t>분류 제외, 기타</t>
        </is>
      </c>
      <c r="L894" t="inlineStr"/>
      <c r="M894" t="inlineStr"/>
      <c r="N894" t="inlineStr"/>
    </row>
    <row r="895">
      <c r="A895" s="1" t="inlineStr">
        <is>
          <t>2021-05-20</t>
        </is>
      </c>
      <c r="B895" t="inlineStr">
        <is>
          <t>news</t>
        </is>
      </c>
      <c r="C895" t="inlineStr">
        <is>
          <t>economy</t>
        </is>
      </c>
      <c r="D895" t="inlineStr">
        <is>
          <t>뉴시스</t>
        </is>
      </c>
      <c r="E895" t="inlineStr">
        <is>
          <t>표주연</t>
        </is>
      </c>
      <c r="F895" t="inlineStr">
        <is>
          <t>1·2차 규제자유특구, 대구·경북·전북 '우수'...전남 '미흡'</t>
        </is>
      </c>
      <c r="G895" s="2">
        <f>HYPERLINK("http://www.newsis.com/view/?id=NISX20210520_0001447354&amp;cID=13001&amp;pID=13000", "Go to Website")</f>
        <v/>
      </c>
      <c r="H895" t="inlineStr"/>
      <c r="I895" t="inlineStr">
        <is>
          <t>K64</t>
        </is>
      </c>
      <c r="J895" s="3" t="n">
        <v>0.396</v>
      </c>
      <c r="K895" t="inlineStr">
        <is>
          <t>금융업</t>
        </is>
      </c>
      <c r="L895" t="inlineStr"/>
      <c r="M895" t="inlineStr"/>
      <c r="N895" t="inlineStr"/>
    </row>
    <row r="896">
      <c r="A896" s="1" t="inlineStr">
        <is>
          <t>2021-05-20</t>
        </is>
      </c>
      <c r="B896" t="inlineStr">
        <is>
          <t>news</t>
        </is>
      </c>
      <c r="C896" t="inlineStr">
        <is>
          <t>economy</t>
        </is>
      </c>
      <c r="D896" t="inlineStr">
        <is>
          <t>전자신문</t>
        </is>
      </c>
      <c r="E896" t="inlineStr">
        <is>
          <t>류태웅</t>
        </is>
      </c>
      <c r="F896" t="inlineStr">
        <is>
          <t>포스코, 호주 레이븐소프 지분 30% 인수...니켈 수급 안정성 제고</t>
        </is>
      </c>
      <c r="G896" s="2">
        <f>HYPERLINK("http://www.etnews.com/20210520000137", "Go to Website")</f>
        <v/>
      </c>
      <c r="H896" t="inlineStr"/>
      <c r="I896" t="inlineStr">
        <is>
          <t>C24</t>
        </is>
      </c>
      <c r="J896" s="3" t="n">
        <v>1</v>
      </c>
      <c r="K896" t="inlineStr">
        <is>
          <t>1차 금속 제조업</t>
        </is>
      </c>
      <c r="L896" t="inlineStr">
        <is>
          <t>1</t>
        </is>
      </c>
      <c r="M896" s="3" t="n">
        <v>0.863</v>
      </c>
      <c r="N896" t="inlineStr">
        <is>
          <t>긍정</t>
        </is>
      </c>
    </row>
    <row r="897">
      <c r="A897" s="1" t="inlineStr">
        <is>
          <t>2021-05-20</t>
        </is>
      </c>
      <c r="B897" t="inlineStr">
        <is>
          <t>news</t>
        </is>
      </c>
      <c r="C897" t="inlineStr">
        <is>
          <t>economy</t>
        </is>
      </c>
      <c r="D897" t="inlineStr">
        <is>
          <t>이데일리</t>
        </is>
      </c>
      <c r="E897" t="inlineStr">
        <is>
          <t>이정훈</t>
        </is>
      </c>
      <c r="F897" t="inlineStr">
        <is>
          <t>최고가 대비 반토막 난 비트코인…저가매수 기회냐, 암흑기냐</t>
        </is>
      </c>
      <c r="G897" s="2">
        <f>HYPERLINK("http://www.edaily.co.kr/news/newspath.asp?newsid=02617446629050888", "Go to Website")</f>
        <v/>
      </c>
      <c r="H897" t="inlineStr"/>
      <c r="I897" t="inlineStr">
        <is>
          <t>100</t>
        </is>
      </c>
      <c r="J897" s="3" t="n">
        <v>0.621</v>
      </c>
      <c r="K897" t="inlineStr">
        <is>
          <t>분류 제외, 기타</t>
        </is>
      </c>
      <c r="L897" t="inlineStr"/>
      <c r="M897" t="inlineStr"/>
      <c r="N897" t="inlineStr"/>
    </row>
    <row r="898">
      <c r="A898" s="1" t="inlineStr">
        <is>
          <t>2021-05-20</t>
        </is>
      </c>
      <c r="B898" t="inlineStr">
        <is>
          <t>news</t>
        </is>
      </c>
      <c r="C898" t="inlineStr">
        <is>
          <t>economy</t>
        </is>
      </c>
      <c r="D898" t="inlineStr">
        <is>
          <t>연합뉴스TV</t>
        </is>
      </c>
      <c r="E898" t="inlineStr"/>
      <c r="F898" t="inlineStr">
        <is>
          <t>[김대호의 경제읽기] 美 "전기차 中 앞지를 것"…4대 그룹 투자 가속</t>
        </is>
      </c>
      <c r="G898" s="2">
        <f>HYPERLINK("http://www.yonhapnewstv.co.kr/MYH20210520011400038/?did=1825m", "Go to Website")</f>
        <v/>
      </c>
      <c r="H898" t="inlineStr"/>
      <c r="I898" t="inlineStr">
        <is>
          <t>K64</t>
        </is>
      </c>
      <c r="J898" s="3" t="n">
        <v>0.605</v>
      </c>
      <c r="K898" t="inlineStr">
        <is>
          <t>금융업</t>
        </is>
      </c>
      <c r="L898" t="inlineStr">
        <is>
          <t>0</t>
        </is>
      </c>
      <c r="M898" s="3" t="n">
        <v>0.971</v>
      </c>
      <c r="N898" t="inlineStr">
        <is>
          <t>중립</t>
        </is>
      </c>
    </row>
    <row r="899">
      <c r="A899" s="1" t="inlineStr">
        <is>
          <t>2021-05-20</t>
        </is>
      </c>
      <c r="B899" t="inlineStr">
        <is>
          <t>news</t>
        </is>
      </c>
      <c r="C899" t="inlineStr">
        <is>
          <t>economy</t>
        </is>
      </c>
      <c r="D899" t="inlineStr">
        <is>
          <t>이데일리</t>
        </is>
      </c>
      <c r="E899" t="inlineStr">
        <is>
          <t>황현규</t>
        </is>
      </c>
      <c r="F899" t="inlineStr">
        <is>
          <t>김형 대우건설 사장, 어린이 교통안전 캠페인 참여</t>
        </is>
      </c>
      <c r="G899" s="2">
        <f>HYPERLINK("http://www.edaily.co.kr/news/newspath.asp?newsid=02607606629050888", "Go to Website")</f>
        <v/>
      </c>
      <c r="H899" t="inlineStr"/>
      <c r="I899" t="inlineStr">
        <is>
          <t>F41</t>
        </is>
      </c>
      <c r="J899" s="3" t="n">
        <v>0.998</v>
      </c>
      <c r="K899" t="inlineStr">
        <is>
          <t>종합 건설업</t>
        </is>
      </c>
      <c r="L899" t="inlineStr">
        <is>
          <t>0</t>
        </is>
      </c>
      <c r="M899" s="3" t="n">
        <v>0.996</v>
      </c>
      <c r="N899" t="inlineStr">
        <is>
          <t>중립</t>
        </is>
      </c>
    </row>
    <row r="900">
      <c r="A900" s="1" t="inlineStr">
        <is>
          <t>2021-05-20</t>
        </is>
      </c>
      <c r="B900" t="inlineStr">
        <is>
          <t>news</t>
        </is>
      </c>
      <c r="C900" t="inlineStr">
        <is>
          <t>economy</t>
        </is>
      </c>
      <c r="D900" t="inlineStr">
        <is>
          <t>디지털타임스</t>
        </is>
      </c>
      <c r="E900" t="inlineStr">
        <is>
          <t>이상현</t>
        </is>
      </c>
      <c r="F900" t="inlineStr">
        <is>
          <t>포스코, 호주 니켈광산회사 지분 인수…“이차전지 원료 안정적 확보”</t>
        </is>
      </c>
      <c r="G900" s="2">
        <f>HYPERLINK("http://www.dt.co.kr/contents.html?article_no=2021052002109932031005", "Go to Website")</f>
        <v/>
      </c>
      <c r="H900" t="inlineStr"/>
      <c r="I900" t="inlineStr">
        <is>
          <t>C24</t>
        </is>
      </c>
      <c r="J900" s="3" t="n">
        <v>1</v>
      </c>
      <c r="K900" t="inlineStr">
        <is>
          <t>1차 금속 제조업</t>
        </is>
      </c>
      <c r="L900" t="inlineStr">
        <is>
          <t>1</t>
        </is>
      </c>
      <c r="M900" s="3" t="n">
        <v>0.741</v>
      </c>
      <c r="N900" t="inlineStr">
        <is>
          <t>긍정</t>
        </is>
      </c>
    </row>
    <row r="901">
      <c r="A901" s="1" t="inlineStr">
        <is>
          <t>2021-05-20</t>
        </is>
      </c>
      <c r="B901" t="inlineStr">
        <is>
          <t>news</t>
        </is>
      </c>
      <c r="C901" t="inlineStr">
        <is>
          <t>economy</t>
        </is>
      </c>
      <c r="D901" t="inlineStr">
        <is>
          <t>한국경제</t>
        </is>
      </c>
      <c r="E901" t="inlineStr">
        <is>
          <t>오경묵</t>
        </is>
      </c>
      <c r="F901" t="inlineStr">
        <is>
          <t>산업부 사업재편 승인기업 전국 36개사 중 대구 기업 7개</t>
        </is>
      </c>
      <c r="G901" s="2">
        <f>HYPERLINK("https://www.hankyung.com/economy/article/202105201390h", "Go to Website")</f>
        <v/>
      </c>
      <c r="H901" t="inlineStr"/>
      <c r="I901" t="inlineStr">
        <is>
          <t>100</t>
        </is>
      </c>
      <c r="J901" s="3" t="n">
        <v>0.925</v>
      </c>
      <c r="K901" t="inlineStr">
        <is>
          <t>분류 제외, 기타</t>
        </is>
      </c>
      <c r="L901" t="inlineStr"/>
      <c r="M901" t="inlineStr"/>
      <c r="N901" t="inlineStr"/>
    </row>
    <row r="902">
      <c r="A902" s="1" t="inlineStr">
        <is>
          <t>2021-05-20</t>
        </is>
      </c>
      <c r="B902" t="inlineStr">
        <is>
          <t>news</t>
        </is>
      </c>
      <c r="C902" t="inlineStr">
        <is>
          <t>economy</t>
        </is>
      </c>
      <c r="D902" t="inlineStr">
        <is>
          <t>이코노미스트</t>
        </is>
      </c>
      <c r="E902" t="inlineStr"/>
      <c r="F902" t="inlineStr">
        <is>
          <t>[장중시황] 비트코인 관련주 폭락…코스피는 소폭 하락세</t>
        </is>
      </c>
      <c r="G902" s="2">
        <f>HYPERLINK("https://economist.co.kr/2021/05/20/stock/stockNormal/20210520133800274.html", "Go to Website")</f>
        <v/>
      </c>
      <c r="H902" t="inlineStr"/>
      <c r="I902" t="inlineStr">
        <is>
          <t>C26</t>
        </is>
      </c>
      <c r="J902" s="3" t="n">
        <v>0.674</v>
      </c>
      <c r="K902" t="inlineStr">
        <is>
          <t>전자 부품, 컴퓨터, 영상, 음향 및 통신장비 제조업</t>
        </is>
      </c>
      <c r="L902" t="inlineStr"/>
      <c r="M902" t="inlineStr"/>
      <c r="N902" t="inlineStr"/>
    </row>
    <row r="903">
      <c r="A903" s="1" t="inlineStr">
        <is>
          <t>2021-05-20</t>
        </is>
      </c>
      <c r="B903" t="inlineStr">
        <is>
          <t>news</t>
        </is>
      </c>
      <c r="C903" t="inlineStr">
        <is>
          <t>economy</t>
        </is>
      </c>
      <c r="D903" t="inlineStr">
        <is>
          <t>아시아경제</t>
        </is>
      </c>
      <c r="E903" t="inlineStr">
        <is>
          <t>이광호</t>
        </is>
      </c>
      <c r="F903" t="inlineStr">
        <is>
          <t>신한금융, '제로카본·제로퓨얼' 선언…업무용 車 6만여대 전기·수소車 전환</t>
        </is>
      </c>
      <c r="G903" s="2">
        <f>HYPERLINK("https://view.asiae.co.kr/article/2021052010074795170", "Go to Website")</f>
        <v/>
      </c>
      <c r="H903" t="inlineStr"/>
      <c r="I903" t="inlineStr">
        <is>
          <t>C20</t>
        </is>
      </c>
      <c r="J903" s="3" t="n">
        <v>0.549</v>
      </c>
      <c r="K903" t="inlineStr">
        <is>
          <t>화학 물질 및 화학제품 제조업; 의약품 제외</t>
        </is>
      </c>
      <c r="L903" t="inlineStr">
        <is>
          <t>0</t>
        </is>
      </c>
      <c r="M903" s="3" t="n">
        <v>0.732</v>
      </c>
      <c r="N903" t="inlineStr">
        <is>
          <t>중립</t>
        </is>
      </c>
    </row>
    <row r="904">
      <c r="A904" s="1" t="inlineStr">
        <is>
          <t>2021-05-20</t>
        </is>
      </c>
      <c r="B904" t="inlineStr">
        <is>
          <t>news</t>
        </is>
      </c>
      <c r="C904" t="inlineStr">
        <is>
          <t>economy</t>
        </is>
      </c>
      <c r="D904" t="inlineStr">
        <is>
          <t>서울경제</t>
        </is>
      </c>
      <c r="E904" t="inlineStr">
        <is>
          <t>서종갑</t>
        </is>
      </c>
      <c r="F904" t="inlineStr">
        <is>
          <t>포스코, 호주 니켈 광산회사 지분 30% 인수</t>
        </is>
      </c>
      <c r="G904" s="2">
        <f>HYPERLINK("https://www.sedaily.com/NewsView/22MFMPSRPH", "Go to Website")</f>
        <v/>
      </c>
      <c r="H904" t="inlineStr"/>
      <c r="I904" t="inlineStr">
        <is>
          <t>C24</t>
        </is>
      </c>
      <c r="J904" s="3" t="n">
        <v>1</v>
      </c>
      <c r="K904" t="inlineStr">
        <is>
          <t>1차 금속 제조업</t>
        </is>
      </c>
      <c r="L904" t="inlineStr">
        <is>
          <t>0</t>
        </is>
      </c>
      <c r="M904" s="3" t="n">
        <v>0.733</v>
      </c>
      <c r="N904" t="inlineStr">
        <is>
          <t>중립</t>
        </is>
      </c>
    </row>
    <row r="905">
      <c r="A905" s="1" t="inlineStr">
        <is>
          <t>2021-05-20</t>
        </is>
      </c>
      <c r="B905" t="inlineStr">
        <is>
          <t>news</t>
        </is>
      </c>
      <c r="C905" t="inlineStr">
        <is>
          <t>economy</t>
        </is>
      </c>
      <c r="D905" t="inlineStr">
        <is>
          <t>경향신문</t>
        </is>
      </c>
      <c r="E905" t="inlineStr">
        <is>
          <t>정원식</t>
        </is>
      </c>
      <c r="F905" t="inlineStr">
        <is>
          <t>신한금융, 2030년까지 업무용 차량 6만여대 친환경 차량으로 전환</t>
        </is>
      </c>
      <c r="G905" s="2">
        <f>HYPERLINK("http://news.khan.co.kr/kh_news/khan_art_view.html?artid=202105201324001&amp;code=920100", "Go to Website")</f>
        <v/>
      </c>
      <c r="H905" t="inlineStr"/>
      <c r="I905" t="inlineStr">
        <is>
          <t>C28</t>
        </is>
      </c>
      <c r="J905" s="3" t="n">
        <v>0.606</v>
      </c>
      <c r="K905" t="inlineStr">
        <is>
          <t>전기장비 제조업</t>
        </is>
      </c>
      <c r="L905" t="inlineStr">
        <is>
          <t>0</t>
        </is>
      </c>
      <c r="M905" s="3" t="n">
        <v>0.945</v>
      </c>
      <c r="N905" t="inlineStr">
        <is>
          <t>중립</t>
        </is>
      </c>
    </row>
    <row r="906">
      <c r="A906" s="1" t="inlineStr">
        <is>
          <t>2021-05-20</t>
        </is>
      </c>
      <c r="B906" t="inlineStr">
        <is>
          <t>news</t>
        </is>
      </c>
      <c r="C906" t="inlineStr">
        <is>
          <t>economy</t>
        </is>
      </c>
      <c r="D906" t="inlineStr">
        <is>
          <t>아시아경제</t>
        </is>
      </c>
      <c r="E906" t="inlineStr">
        <is>
          <t>장효원</t>
        </is>
      </c>
      <c r="F906" t="inlineStr">
        <is>
          <t>KR모터스, 그린모빌리티와 미래형 전기차 판매 본격화</t>
        </is>
      </c>
      <c r="G906" s="2">
        <f>HYPERLINK("https://view.asiae.co.kr/article/2021052013244546024", "Go to Website")</f>
        <v/>
      </c>
      <c r="H906" t="inlineStr"/>
      <c r="I906" t="inlineStr">
        <is>
          <t>C31</t>
        </is>
      </c>
      <c r="J906" s="3" t="n">
        <v>1</v>
      </c>
      <c r="K906" t="inlineStr">
        <is>
          <t>기타 운송장비 제조업</t>
        </is>
      </c>
      <c r="L906" t="inlineStr">
        <is>
          <t>0</t>
        </is>
      </c>
      <c r="M906" s="3" t="n">
        <v>0.853</v>
      </c>
      <c r="N906" t="inlineStr">
        <is>
          <t>중립</t>
        </is>
      </c>
    </row>
    <row r="907">
      <c r="A907" s="1" t="inlineStr">
        <is>
          <t>2021-05-20</t>
        </is>
      </c>
      <c r="B907" t="inlineStr">
        <is>
          <t>news</t>
        </is>
      </c>
      <c r="C907" t="inlineStr">
        <is>
          <t>economy</t>
        </is>
      </c>
      <c r="D907" t="inlineStr">
        <is>
          <t>채널A</t>
        </is>
      </c>
      <c r="E907" t="inlineStr"/>
      <c r="F907" t="inlineStr">
        <is>
          <t>[경제 톡톡톡]통계선 진정, 현장은 불안…‘폭풍전야’ 전세시장</t>
        </is>
      </c>
      <c r="G907" s="2">
        <f>HYPERLINK("http://www.ichannela.com/news/main/news_detailPage.do?publishId=000000250744", "Go to Website")</f>
        <v/>
      </c>
      <c r="H907" t="inlineStr"/>
      <c r="I907" t="inlineStr">
        <is>
          <t>L68</t>
        </is>
      </c>
      <c r="J907" s="3" t="n">
        <v>0.999</v>
      </c>
      <c r="K907" t="inlineStr">
        <is>
          <t>부동산업</t>
        </is>
      </c>
      <c r="L907" t="inlineStr">
        <is>
          <t>0</t>
        </is>
      </c>
      <c r="M907" s="3" t="n">
        <v>0.985</v>
      </c>
      <c r="N907" t="inlineStr">
        <is>
          <t>중립</t>
        </is>
      </c>
    </row>
    <row r="908">
      <c r="A908" s="1" t="inlineStr">
        <is>
          <t>2021-05-20</t>
        </is>
      </c>
      <c r="B908" t="inlineStr">
        <is>
          <t>news</t>
        </is>
      </c>
      <c r="C908" t="inlineStr">
        <is>
          <t>economy</t>
        </is>
      </c>
      <c r="D908" t="inlineStr">
        <is>
          <t>아시아경제</t>
        </is>
      </c>
      <c r="E908" t="inlineStr">
        <is>
          <t>장효원</t>
        </is>
      </c>
      <c r="F908" t="inlineStr">
        <is>
          <t>글로벌에스엠, 사상 최대 분기 실적 달성… 1분기 영업익 274%↑</t>
        </is>
      </c>
      <c r="G908" s="2">
        <f>HYPERLINK("https://view.asiae.co.kr/article/2021052013155015279", "Go to Website")</f>
        <v/>
      </c>
      <c r="H908" t="inlineStr"/>
      <c r="I908" t="inlineStr">
        <is>
          <t>J58</t>
        </is>
      </c>
      <c r="J908" s="3" t="n">
        <v>0.329</v>
      </c>
      <c r="K908" t="inlineStr">
        <is>
          <t>출판업</t>
        </is>
      </c>
      <c r="L908" t="inlineStr">
        <is>
          <t>1</t>
        </is>
      </c>
      <c r="M908" s="3" t="n">
        <v>1</v>
      </c>
      <c r="N908" t="inlineStr">
        <is>
          <t>긍정</t>
        </is>
      </c>
    </row>
    <row r="909">
      <c r="A909" s="1" t="inlineStr">
        <is>
          <t>2021-05-20</t>
        </is>
      </c>
      <c r="B909" t="inlineStr">
        <is>
          <t>news</t>
        </is>
      </c>
      <c r="C909" t="inlineStr">
        <is>
          <t>economy</t>
        </is>
      </c>
      <c r="D909" t="inlineStr">
        <is>
          <t>아시아경제</t>
        </is>
      </c>
      <c r="E909" t="inlineStr">
        <is>
          <t>김보경</t>
        </is>
      </c>
      <c r="F909" t="inlineStr">
        <is>
          <t>미래차 신규부품 개발 '티앤지'…"글로벌 파트너사 도약"</t>
        </is>
      </c>
      <c r="G909" s="2">
        <f>HYPERLINK("https://view.asiae.co.kr/article/2021052013131201308", "Go to Website")</f>
        <v/>
      </c>
      <c r="H909" t="inlineStr"/>
      <c r="I909" t="inlineStr">
        <is>
          <t>J58</t>
        </is>
      </c>
      <c r="J909" s="3" t="n">
        <v>0.85</v>
      </c>
      <c r="K909" t="inlineStr">
        <is>
          <t>출판업</t>
        </is>
      </c>
      <c r="L909" t="inlineStr"/>
      <c r="M909" t="inlineStr"/>
      <c r="N909" t="inlineStr"/>
    </row>
    <row r="910">
      <c r="A910" s="1" t="inlineStr">
        <is>
          <t>2021-05-20</t>
        </is>
      </c>
      <c r="B910" t="inlineStr">
        <is>
          <t>news</t>
        </is>
      </c>
      <c r="C910" t="inlineStr">
        <is>
          <t>economy</t>
        </is>
      </c>
      <c r="D910" t="inlineStr">
        <is>
          <t>머니투데이</t>
        </is>
      </c>
      <c r="E910" t="inlineStr">
        <is>
          <t>최민경</t>
        </is>
      </c>
      <c r="F910" t="inlineStr">
        <is>
          <t>포스코, 호주 이차전지용 니켈 광산회사 지분 인수</t>
        </is>
      </c>
      <c r="G910" s="2">
        <f>HYPERLINK("http://news.mt.co.kr/mtview.php?no=2021052011284532119", "Go to Website")</f>
        <v/>
      </c>
      <c r="H910" t="inlineStr"/>
      <c r="I910" t="inlineStr">
        <is>
          <t>C24</t>
        </is>
      </c>
      <c r="J910" s="3" t="n">
        <v>1</v>
      </c>
      <c r="K910" t="inlineStr">
        <is>
          <t>1차 금속 제조업</t>
        </is>
      </c>
      <c r="L910" t="inlineStr">
        <is>
          <t>1</t>
        </is>
      </c>
      <c r="M910" s="3" t="n">
        <v>0.763</v>
      </c>
      <c r="N910" t="inlineStr">
        <is>
          <t>긍정</t>
        </is>
      </c>
    </row>
    <row r="911">
      <c r="A911" s="1" t="inlineStr">
        <is>
          <t>2021-05-20</t>
        </is>
      </c>
      <c r="B911" t="inlineStr">
        <is>
          <t>news</t>
        </is>
      </c>
      <c r="C911" t="inlineStr">
        <is>
          <t>economy</t>
        </is>
      </c>
      <c r="D911" t="inlineStr">
        <is>
          <t>한국경제TV</t>
        </is>
      </c>
      <c r="E911" t="inlineStr">
        <is>
          <t>김원규</t>
        </is>
      </c>
      <c r="F911" t="inlineStr">
        <is>
          <t>코오롱하늘채, 홈 IoT ‘스마트 하늘채 IoK’ 고도화</t>
        </is>
      </c>
      <c r="G911" s="2">
        <f>HYPERLINK("http://www.wowtv.co.kr/NewsCenter/News/Read?articleId=A202105200191&amp;t=NN", "Go to Website")</f>
        <v/>
      </c>
      <c r="H911" t="inlineStr"/>
      <c r="I911" t="inlineStr">
        <is>
          <t>J61</t>
        </is>
      </c>
      <c r="J911" s="3" t="n">
        <v>0.84</v>
      </c>
      <c r="K911" t="inlineStr">
        <is>
          <t>우편 및 통신업</t>
        </is>
      </c>
      <c r="L911" t="inlineStr"/>
      <c r="M911" t="inlineStr"/>
      <c r="N911" t="inlineStr"/>
    </row>
    <row r="912">
      <c r="A912" s="1" t="inlineStr">
        <is>
          <t>2021-05-20</t>
        </is>
      </c>
      <c r="B912" t="inlineStr">
        <is>
          <t>news</t>
        </is>
      </c>
      <c r="C912" t="inlineStr">
        <is>
          <t>economy</t>
        </is>
      </c>
      <c r="D912" t="inlineStr">
        <is>
          <t>문화일보</t>
        </is>
      </c>
      <c r="E912" t="inlineStr">
        <is>
          <t>황혜진</t>
        </is>
      </c>
      <c r="F912" t="inlineStr">
        <is>
          <t>車·건설·가전…‘부품·원자재 부족’ 全산업 급속 확산</t>
        </is>
      </c>
      <c r="G912" s="2">
        <f>HYPERLINK("http://www.munhwa.com/news/view.html?no=2021052001072539176001", "Go to Website")</f>
        <v/>
      </c>
      <c r="H912" t="inlineStr"/>
      <c r="I912" t="inlineStr">
        <is>
          <t>C24</t>
        </is>
      </c>
      <c r="J912" s="3" t="n">
        <v>0.457</v>
      </c>
      <c r="K912" t="inlineStr">
        <is>
          <t>1차 금속 제조업</t>
        </is>
      </c>
      <c r="L912" t="inlineStr"/>
      <c r="M912" t="inlineStr"/>
      <c r="N912" t="inlineStr"/>
    </row>
    <row r="913">
      <c r="A913" s="1" t="inlineStr">
        <is>
          <t>2021-05-20</t>
        </is>
      </c>
      <c r="B913" t="inlineStr">
        <is>
          <t>news</t>
        </is>
      </c>
      <c r="C913" t="inlineStr">
        <is>
          <t>economy</t>
        </is>
      </c>
      <c r="D913" t="inlineStr">
        <is>
          <t>데일리안</t>
        </is>
      </c>
      <c r="E913" t="inlineStr">
        <is>
          <t>이호연</t>
        </is>
      </c>
      <c r="F913" t="inlineStr">
        <is>
          <t>신한금융, 2030년까지 업무차 6만여대 무공해차 전면교체</t>
        </is>
      </c>
      <c r="G913" s="2">
        <f>HYPERLINK("https://www.dailian.co.kr/news/view/993068/", "Go to Website")</f>
        <v/>
      </c>
      <c r="H913" t="inlineStr"/>
      <c r="I913" t="inlineStr">
        <is>
          <t>C28</t>
        </is>
      </c>
      <c r="J913" s="3" t="n">
        <v>0.514</v>
      </c>
      <c r="K913" t="inlineStr">
        <is>
          <t>전기장비 제조업</t>
        </is>
      </c>
      <c r="L913" t="inlineStr">
        <is>
          <t>0</t>
        </is>
      </c>
      <c r="M913" s="3" t="n">
        <v>0.994</v>
      </c>
      <c r="N913" t="inlineStr">
        <is>
          <t>중립</t>
        </is>
      </c>
    </row>
    <row r="914">
      <c r="A914" s="1" t="inlineStr">
        <is>
          <t>2021-05-20</t>
        </is>
      </c>
      <c r="B914" t="inlineStr">
        <is>
          <t>news</t>
        </is>
      </c>
      <c r="C914" t="inlineStr">
        <is>
          <t>economy</t>
        </is>
      </c>
      <c r="D914" t="inlineStr">
        <is>
          <t>아이뉴스24</t>
        </is>
      </c>
      <c r="E914" t="inlineStr">
        <is>
          <t>강길홍</t>
        </is>
      </c>
      <c r="F914" t="inlineStr">
        <is>
          <t>포스코, 호주 이차전지용 니켈 광산회사 지분 인수</t>
        </is>
      </c>
      <c r="G914" s="2">
        <f>HYPERLINK("http://www.inews24.com/view/1368605", "Go to Website")</f>
        <v/>
      </c>
      <c r="H914" t="inlineStr"/>
      <c r="I914" t="inlineStr">
        <is>
          <t>C24</t>
        </is>
      </c>
      <c r="J914" s="3" t="n">
        <v>1</v>
      </c>
      <c r="K914" t="inlineStr">
        <is>
          <t>1차 금속 제조업</t>
        </is>
      </c>
      <c r="L914" t="inlineStr">
        <is>
          <t>0</t>
        </is>
      </c>
      <c r="M914" s="3" t="n">
        <v>0.535</v>
      </c>
      <c r="N914" t="inlineStr">
        <is>
          <t>중립</t>
        </is>
      </c>
    </row>
    <row r="915">
      <c r="A915" s="1" t="inlineStr">
        <is>
          <t>2021-05-20</t>
        </is>
      </c>
      <c r="B915" t="inlineStr">
        <is>
          <t>news</t>
        </is>
      </c>
      <c r="C915" t="inlineStr">
        <is>
          <t>economy</t>
        </is>
      </c>
      <c r="D915" t="inlineStr">
        <is>
          <t>매일경제</t>
        </is>
      </c>
      <c r="E915" t="inlineStr">
        <is>
          <t>매경닷컴</t>
        </is>
      </c>
      <c r="F915" t="inlineStr">
        <is>
          <t>김형 대우건설 사장 '어린이 교통안전 릴레이 챌린지' 동참</t>
        </is>
      </c>
      <c r="G915" s="2">
        <f>HYPERLINK("http://news.mk.co.kr/newsRead.php?no=485895&amp;year=2021", "Go to Website")</f>
        <v/>
      </c>
      <c r="H915" t="inlineStr"/>
      <c r="I915" t="inlineStr">
        <is>
          <t>F41</t>
        </is>
      </c>
      <c r="J915" s="3" t="n">
        <v>0.984</v>
      </c>
      <c r="K915" t="inlineStr">
        <is>
          <t>종합 건설업</t>
        </is>
      </c>
      <c r="L915" t="inlineStr">
        <is>
          <t>0</t>
        </is>
      </c>
      <c r="M915" s="3" t="n">
        <v>0.999</v>
      </c>
      <c r="N915" t="inlineStr">
        <is>
          <t>중립</t>
        </is>
      </c>
    </row>
    <row r="916">
      <c r="A916" s="1" t="inlineStr">
        <is>
          <t>2021-05-20</t>
        </is>
      </c>
      <c r="B916" t="inlineStr">
        <is>
          <t>news</t>
        </is>
      </c>
      <c r="C916" t="inlineStr">
        <is>
          <t>economy</t>
        </is>
      </c>
      <c r="D916" t="inlineStr">
        <is>
          <t>데일리안</t>
        </is>
      </c>
      <c r="E916" t="inlineStr">
        <is>
          <t>조인영</t>
        </is>
      </c>
      <c r="F916" t="inlineStr">
        <is>
          <t>람보르기니, 2024년까지 전 모델 전동화 추진</t>
        </is>
      </c>
      <c r="G916" s="2">
        <f>HYPERLINK("https://www.dailian.co.kr/news/view/993063/", "Go to Website")</f>
        <v/>
      </c>
      <c r="H916" t="inlineStr"/>
      <c r="I916" t="inlineStr">
        <is>
          <t>C30</t>
        </is>
      </c>
      <c r="J916" s="3" t="n">
        <v>0.974</v>
      </c>
      <c r="K916" t="inlineStr">
        <is>
          <t>자동차 및 트레일러 제조업</t>
        </is>
      </c>
      <c r="L916" t="inlineStr"/>
      <c r="M916" t="inlineStr"/>
      <c r="N916" t="inlineStr"/>
    </row>
    <row r="917">
      <c r="A917" s="1" t="inlineStr">
        <is>
          <t>2021-05-20</t>
        </is>
      </c>
      <c r="B917" t="inlineStr">
        <is>
          <t>news</t>
        </is>
      </c>
      <c r="C917" t="inlineStr">
        <is>
          <t>tech</t>
        </is>
      </c>
      <c r="D917" t="inlineStr">
        <is>
          <t>블로터</t>
        </is>
      </c>
      <c r="E917" t="inlineStr">
        <is>
          <t>구태우</t>
        </is>
      </c>
      <c r="F917" t="inlineStr">
        <is>
          <t>'美 전기차 투자 반대' 현대차 노조, 올해 9만9000원 인상·순이익 30% 분배 요구</t>
        </is>
      </c>
      <c r="G917" s="2">
        <f>HYPERLINK("http://www.bloter.net/newsView/blt202105200009", "Go to Website")</f>
        <v/>
      </c>
      <c r="H917" t="inlineStr"/>
      <c r="I917" t="inlineStr"/>
      <c r="J917" t="inlineStr"/>
      <c r="K917" t="inlineStr"/>
      <c r="L917" t="inlineStr"/>
      <c r="M917" t="inlineStr"/>
      <c r="N917" t="inlineStr"/>
    </row>
    <row r="918">
      <c r="A918" s="1" t="inlineStr">
        <is>
          <t>2021-05-20</t>
        </is>
      </c>
      <c r="B918" t="inlineStr">
        <is>
          <t>news</t>
        </is>
      </c>
      <c r="C918" t="inlineStr">
        <is>
          <t>economy</t>
        </is>
      </c>
      <c r="D918" t="inlineStr">
        <is>
          <t>헤럴드경제</t>
        </is>
      </c>
      <c r="E918" t="inlineStr">
        <is>
          <t>김현일</t>
        </is>
      </c>
      <c r="F918" t="inlineStr">
        <is>
          <t>SK이노, 美에 첫 배터리 합작법인 세운다</t>
        </is>
      </c>
      <c r="G918" s="2">
        <f>HYPERLINK("http://news.heraldcorp.com/view.php?ud=20210520000611", "Go to Website")</f>
        <v/>
      </c>
      <c r="H918" t="inlineStr"/>
      <c r="I918" t="inlineStr">
        <is>
          <t>K64</t>
        </is>
      </c>
      <c r="J918" s="3" t="n">
        <v>0.982</v>
      </c>
      <c r="K918" t="inlineStr">
        <is>
          <t>금융업</t>
        </is>
      </c>
      <c r="L918" t="inlineStr"/>
      <c r="M918" t="inlineStr"/>
      <c r="N918" t="inlineStr"/>
    </row>
    <row r="919">
      <c r="A919" s="1" t="inlineStr">
        <is>
          <t>2021-05-20</t>
        </is>
      </c>
      <c r="B919" t="inlineStr">
        <is>
          <t>news</t>
        </is>
      </c>
      <c r="C919" t="inlineStr">
        <is>
          <t>economy</t>
        </is>
      </c>
      <c r="D919" t="inlineStr">
        <is>
          <t>뉴시스</t>
        </is>
      </c>
      <c r="E919" t="inlineStr">
        <is>
          <t>박주연</t>
        </is>
      </c>
      <c r="F919" t="inlineStr">
        <is>
          <t>'보조금 놓칠라'…현대차, 아이오닉5 출고 안간힘</t>
        </is>
      </c>
      <c r="G919" s="2">
        <f>HYPERLINK("http://www.newsis.com/view/?id=NISX20210520_0001446840&amp;cID=13001&amp;pID=13000", "Go to Website")</f>
        <v/>
      </c>
      <c r="H919" t="inlineStr"/>
      <c r="I919" t="inlineStr">
        <is>
          <t>C30</t>
        </is>
      </c>
      <c r="J919" s="3" t="n">
        <v>0.981</v>
      </c>
      <c r="K919" t="inlineStr">
        <is>
          <t>자동차 및 트레일러 제조업</t>
        </is>
      </c>
      <c r="L919" t="inlineStr">
        <is>
          <t>0</t>
        </is>
      </c>
      <c r="M919" s="3" t="n">
        <v>0.5629999999999999</v>
      </c>
      <c r="N919" t="inlineStr">
        <is>
          <t>중립</t>
        </is>
      </c>
    </row>
    <row r="920">
      <c r="A920" s="1" t="inlineStr">
        <is>
          <t>2021-05-20</t>
        </is>
      </c>
      <c r="B920" t="inlineStr">
        <is>
          <t>news</t>
        </is>
      </c>
      <c r="C920" t="inlineStr">
        <is>
          <t>economy</t>
        </is>
      </c>
      <c r="D920" t="inlineStr">
        <is>
          <t>조선비즈</t>
        </is>
      </c>
      <c r="E920" t="inlineStr">
        <is>
          <t>이경탁</t>
        </is>
      </c>
      <c r="F920" t="inlineStr">
        <is>
          <t>신한금융, 2030년까지 업무용차 6만여대 전기·수소차로 전환</t>
        </is>
      </c>
      <c r="G920" s="2">
        <f>HYPERLINK("https://biz.chosun.com/stock/finance/2021/05/20/L7AFABEGDBCDZAXJR4OVKLMBAI/?utm_medium=original&amp;utm_campaign=biz", "Go to Website")</f>
        <v/>
      </c>
      <c r="H920" t="inlineStr"/>
      <c r="I920" t="inlineStr">
        <is>
          <t>C28</t>
        </is>
      </c>
      <c r="J920" s="3" t="n">
        <v>1</v>
      </c>
      <c r="K920" t="inlineStr">
        <is>
          <t>전기장비 제조업</t>
        </is>
      </c>
      <c r="L920" t="inlineStr">
        <is>
          <t>1</t>
        </is>
      </c>
      <c r="M920" s="3" t="n">
        <v>0.522</v>
      </c>
      <c r="N920" t="inlineStr">
        <is>
          <t>긍정</t>
        </is>
      </c>
    </row>
    <row r="921">
      <c r="A921" s="1" t="inlineStr">
        <is>
          <t>2021-05-20</t>
        </is>
      </c>
      <c r="B921" t="inlineStr">
        <is>
          <t>news</t>
        </is>
      </c>
      <c r="C921" t="inlineStr">
        <is>
          <t>economy</t>
        </is>
      </c>
      <c r="D921" t="inlineStr">
        <is>
          <t>이데일리</t>
        </is>
      </c>
      <c r="E921" t="inlineStr">
        <is>
          <t>이진철</t>
        </is>
      </c>
      <c r="F921" t="inlineStr">
        <is>
          <t>조용병 신한금융 회장, '제로카본·제로퓨얼' 선언</t>
        </is>
      </c>
      <c r="G921" s="2">
        <f>HYPERLINK("http://www.edaily.co.kr/news/newspath.asp?newsid=02420646629050888", "Go to Website")</f>
        <v/>
      </c>
      <c r="H921" t="inlineStr"/>
      <c r="I921" t="inlineStr">
        <is>
          <t>C28</t>
        </is>
      </c>
      <c r="J921" s="3" t="n">
        <v>0.975</v>
      </c>
      <c r="K921" t="inlineStr">
        <is>
          <t>전기장비 제조업</t>
        </is>
      </c>
      <c r="L921" t="inlineStr">
        <is>
          <t>0</t>
        </is>
      </c>
      <c r="M921" s="3" t="n">
        <v>0.987</v>
      </c>
      <c r="N921" t="inlineStr">
        <is>
          <t>중립</t>
        </is>
      </c>
    </row>
    <row r="922">
      <c r="A922" s="1" t="inlineStr">
        <is>
          <t>2021-05-20</t>
        </is>
      </c>
      <c r="B922" t="inlineStr">
        <is>
          <t>news</t>
        </is>
      </c>
      <c r="C922" t="inlineStr">
        <is>
          <t>economy</t>
        </is>
      </c>
      <c r="D922" t="inlineStr">
        <is>
          <t>머니투데이</t>
        </is>
      </c>
      <c r="E922" t="inlineStr">
        <is>
          <t>김지산</t>
        </is>
      </c>
      <c r="F922" t="inlineStr">
        <is>
          <t>신한금융, 2030년까지 업무車 6.3만대 무공해차로 전면교체</t>
        </is>
      </c>
      <c r="G922" s="2">
        <f>HYPERLINK("http://news.mt.co.kr/mtview.php?no=2021052011381276134", "Go to Website")</f>
        <v/>
      </c>
      <c r="H922" t="inlineStr"/>
      <c r="I922" t="inlineStr">
        <is>
          <t>K64</t>
        </is>
      </c>
      <c r="J922" s="3" t="n">
        <v>0.98</v>
      </c>
      <c r="K922" t="inlineStr">
        <is>
          <t>금융업</t>
        </is>
      </c>
      <c r="L922" t="inlineStr">
        <is>
          <t>0</t>
        </is>
      </c>
      <c r="M922" s="3" t="n">
        <v>0.985</v>
      </c>
      <c r="N922" t="inlineStr">
        <is>
          <t>중립</t>
        </is>
      </c>
    </row>
    <row r="923">
      <c r="A923" s="1" t="inlineStr">
        <is>
          <t>2021-05-20</t>
        </is>
      </c>
      <c r="B923" t="inlineStr">
        <is>
          <t>news</t>
        </is>
      </c>
      <c r="C923" t="inlineStr">
        <is>
          <t>economy</t>
        </is>
      </c>
      <c r="D923" t="inlineStr">
        <is>
          <t>뉴스1</t>
        </is>
      </c>
      <c r="E923" t="inlineStr">
        <is>
          <t>류정민</t>
        </is>
      </c>
      <c r="F923" t="inlineStr">
        <is>
          <t>포스코, 호주 니켈 광산회사 지분 인수…2억4000만 달러 투자</t>
        </is>
      </c>
      <c r="G923" s="2">
        <f>HYPERLINK("https://www.news1.kr/articles/?4312192", "Go to Website")</f>
        <v/>
      </c>
      <c r="H923" t="inlineStr"/>
      <c r="I923" t="inlineStr">
        <is>
          <t>C24</t>
        </is>
      </c>
      <c r="J923" s="3" t="n">
        <v>1</v>
      </c>
      <c r="K923" t="inlineStr">
        <is>
          <t>1차 금속 제조업</t>
        </is>
      </c>
      <c r="L923" t="inlineStr">
        <is>
          <t>0</t>
        </is>
      </c>
      <c r="M923" s="3" t="n">
        <v>0.668</v>
      </c>
      <c r="N923" t="inlineStr">
        <is>
          <t>중립</t>
        </is>
      </c>
    </row>
    <row r="924">
      <c r="A924" s="1" t="inlineStr">
        <is>
          <t>2021-05-20</t>
        </is>
      </c>
      <c r="B924" t="inlineStr">
        <is>
          <t>news</t>
        </is>
      </c>
      <c r="C924" t="inlineStr">
        <is>
          <t>economy</t>
        </is>
      </c>
      <c r="D924" t="inlineStr">
        <is>
          <t>이데일리</t>
        </is>
      </c>
      <c r="E924" t="inlineStr">
        <is>
          <t>배진솔</t>
        </is>
      </c>
      <c r="F924" t="inlineStr">
        <is>
          <t>TSMC, 1나노 반도체 기술 난제 해결…"삼성에 또 앞섰다"</t>
        </is>
      </c>
      <c r="G924" s="2">
        <f>HYPERLINK("http://www.edaily.co.kr/news/newspath.asp?newsid=02400966629050888", "Go to Website")</f>
        <v/>
      </c>
      <c r="H924" t="inlineStr"/>
      <c r="I924" t="inlineStr">
        <is>
          <t>C26</t>
        </is>
      </c>
      <c r="J924" s="3" t="n">
        <v>0.996</v>
      </c>
      <c r="K924" t="inlineStr">
        <is>
          <t>전자 부품, 컴퓨터, 영상, 음향 및 통신장비 제조업</t>
        </is>
      </c>
      <c r="L924" t="inlineStr"/>
      <c r="M924" t="inlineStr"/>
      <c r="N924" t="inlineStr"/>
    </row>
    <row r="925">
      <c r="A925" s="1" t="inlineStr">
        <is>
          <t>2021-05-20</t>
        </is>
      </c>
      <c r="B925" t="inlineStr">
        <is>
          <t>news</t>
        </is>
      </c>
      <c r="C925" t="inlineStr">
        <is>
          <t>economy</t>
        </is>
      </c>
      <c r="D925" t="inlineStr">
        <is>
          <t>헤럴드경제</t>
        </is>
      </c>
      <c r="E925" t="inlineStr">
        <is>
          <t>정찬수</t>
        </is>
      </c>
      <c r="F925" t="inlineStr">
        <is>
          <t>포스코, 2차전지용 濠 니켈광산회사 지분 인수</t>
        </is>
      </c>
      <c r="G925" s="2">
        <f>HYPERLINK("http://news.heraldcorp.com/view.php?ud=20210520000587", "Go to Website")</f>
        <v/>
      </c>
      <c r="H925" t="inlineStr"/>
      <c r="I925" t="inlineStr">
        <is>
          <t>C24</t>
        </is>
      </c>
      <c r="J925" s="3" t="n">
        <v>0.999</v>
      </c>
      <c r="K925" t="inlineStr">
        <is>
          <t>1차 금속 제조업</t>
        </is>
      </c>
      <c r="L925" t="inlineStr">
        <is>
          <t>0</t>
        </is>
      </c>
      <c r="M925" s="3" t="n">
        <v>0.764</v>
      </c>
      <c r="N925" t="inlineStr">
        <is>
          <t>중립</t>
        </is>
      </c>
    </row>
    <row r="926">
      <c r="A926" s="1" t="inlineStr">
        <is>
          <t>2021-05-20</t>
        </is>
      </c>
      <c r="B926" t="inlineStr">
        <is>
          <t>news</t>
        </is>
      </c>
      <c r="C926" t="inlineStr">
        <is>
          <t>economy</t>
        </is>
      </c>
      <c r="D926" t="inlineStr">
        <is>
          <t>연합뉴스</t>
        </is>
      </c>
      <c r="E926" t="inlineStr">
        <is>
          <t>신호경</t>
        </is>
      </c>
      <c r="F926" t="inlineStr">
        <is>
          <t>신한금융, 2030년까지 업무용 차량 무공해차로 바꾼다</t>
        </is>
      </c>
      <c r="G926" s="2">
        <f>HYPERLINK("http://yna.kr/AKR20210520077400002?did=1195m", "Go to Website")</f>
        <v/>
      </c>
      <c r="H926" t="inlineStr"/>
      <c r="I926" t="inlineStr">
        <is>
          <t>C28</t>
        </is>
      </c>
      <c r="J926" s="3" t="n">
        <v>0.9370000000000001</v>
      </c>
      <c r="K926" t="inlineStr">
        <is>
          <t>전기장비 제조업</t>
        </is>
      </c>
      <c r="L926" t="inlineStr">
        <is>
          <t>0</t>
        </is>
      </c>
      <c r="M926" s="3" t="n">
        <v>0.998</v>
      </c>
      <c r="N926" t="inlineStr">
        <is>
          <t>중립</t>
        </is>
      </c>
    </row>
    <row r="927">
      <c r="A927" s="1" t="inlineStr">
        <is>
          <t>2021-05-20</t>
        </is>
      </c>
      <c r="B927" t="inlineStr">
        <is>
          <t>news</t>
        </is>
      </c>
      <c r="C927" t="inlineStr">
        <is>
          <t>economy</t>
        </is>
      </c>
      <c r="D927" t="inlineStr">
        <is>
          <t>데일리안</t>
        </is>
      </c>
      <c r="E927" t="inlineStr">
        <is>
          <t>조인영</t>
        </is>
      </c>
      <c r="F927" t="inlineStr">
        <is>
          <t>LG엔솔, 1Q 글로벌 배터리 시장서 1위…삼성·SK도 '톱5'</t>
        </is>
      </c>
      <c r="G927" s="2">
        <f>HYPERLINK("https://www.dailian.co.kr/news/view/993041/", "Go to Website")</f>
        <v/>
      </c>
      <c r="H927" t="inlineStr"/>
      <c r="I927" t="inlineStr">
        <is>
          <t>C28</t>
        </is>
      </c>
      <c r="J927" s="3" t="n">
        <v>0.786</v>
      </c>
      <c r="K927" t="inlineStr">
        <is>
          <t>전기장비 제조업</t>
        </is>
      </c>
      <c r="L927" t="inlineStr"/>
      <c r="M927" t="inlineStr"/>
      <c r="N927" t="inlineStr"/>
    </row>
    <row r="928">
      <c r="A928" s="1" t="inlineStr">
        <is>
          <t>2021-05-20</t>
        </is>
      </c>
      <c r="B928" t="inlineStr">
        <is>
          <t>news</t>
        </is>
      </c>
      <c r="C928" t="inlineStr">
        <is>
          <t>economy</t>
        </is>
      </c>
      <c r="D928" t="inlineStr">
        <is>
          <t>헤럴드경제</t>
        </is>
      </c>
      <c r="E928" t="inlineStr">
        <is>
          <t>이민경</t>
        </is>
      </c>
      <c r="F928" t="inlineStr">
        <is>
          <t>코오롱글로벌 ‘스마트 하늘채 IoK’ 서비스 UP</t>
        </is>
      </c>
      <c r="G928" s="2">
        <f>HYPERLINK("http://news.heraldcorp.com/view.php?ud=20210520000574", "Go to Website")</f>
        <v/>
      </c>
      <c r="H928" t="inlineStr"/>
      <c r="I928" t="inlineStr">
        <is>
          <t>K64</t>
        </is>
      </c>
      <c r="J928" s="3" t="n">
        <v>0.925</v>
      </c>
      <c r="K928" t="inlineStr">
        <is>
          <t>금융업</t>
        </is>
      </c>
      <c r="L928" t="inlineStr">
        <is>
          <t>0</t>
        </is>
      </c>
      <c r="M928" s="3" t="n">
        <v>0.729</v>
      </c>
      <c r="N928" t="inlineStr">
        <is>
          <t>중립</t>
        </is>
      </c>
    </row>
    <row r="929">
      <c r="A929" s="1" t="inlineStr">
        <is>
          <t>2021-05-20</t>
        </is>
      </c>
      <c r="B929" t="inlineStr">
        <is>
          <t>news</t>
        </is>
      </c>
      <c r="C929" t="inlineStr">
        <is>
          <t>economy</t>
        </is>
      </c>
      <c r="D929" t="inlineStr">
        <is>
          <t>아시아경제</t>
        </is>
      </c>
      <c r="E929" t="inlineStr">
        <is>
          <t>황윤주</t>
        </is>
      </c>
      <c r="F929" t="inlineStr">
        <is>
          <t>포스코, 호주 니켈 광산 기업 지분 30% 인수</t>
        </is>
      </c>
      <c r="G929" s="2">
        <f>HYPERLINK("https://view.asiae.co.kr/article/2021052011364831604", "Go to Website")</f>
        <v/>
      </c>
      <c r="H929" t="inlineStr"/>
      <c r="I929" t="inlineStr">
        <is>
          <t>C24</t>
        </is>
      </c>
      <c r="J929" s="3" t="n">
        <v>1</v>
      </c>
      <c r="K929" t="inlineStr">
        <is>
          <t>1차 금속 제조업</t>
        </is>
      </c>
      <c r="L929" t="inlineStr">
        <is>
          <t>0</t>
        </is>
      </c>
      <c r="M929" s="3" t="n">
        <v>0.722</v>
      </c>
      <c r="N929" t="inlineStr">
        <is>
          <t>중립</t>
        </is>
      </c>
    </row>
    <row r="930">
      <c r="A930" s="1" t="inlineStr">
        <is>
          <t>2021-05-20</t>
        </is>
      </c>
      <c r="B930" t="inlineStr">
        <is>
          <t>news</t>
        </is>
      </c>
      <c r="C930" t="inlineStr">
        <is>
          <t>economy</t>
        </is>
      </c>
      <c r="D930" t="inlineStr">
        <is>
          <t>SBS Biz</t>
        </is>
      </c>
      <c r="E930" t="inlineStr">
        <is>
          <t>김정연</t>
        </is>
      </c>
      <c r="F930" t="inlineStr">
        <is>
          <t>포스코, 호주 니켈 광산회사 지분 인수…이차전지소재 사업 박차</t>
        </is>
      </c>
      <c r="G930" s="2">
        <f>HYPERLINK("https://biz.sbs.co.kr/article_hub/20000016140", "Go to Website")</f>
        <v/>
      </c>
      <c r="H930" t="inlineStr"/>
      <c r="I930" t="inlineStr">
        <is>
          <t>C24</t>
        </is>
      </c>
      <c r="J930" s="3" t="n">
        <v>1</v>
      </c>
      <c r="K930" t="inlineStr">
        <is>
          <t>1차 금속 제조업</t>
        </is>
      </c>
      <c r="L930" t="inlineStr">
        <is>
          <t>1</t>
        </is>
      </c>
      <c r="M930" s="3" t="n">
        <v>0.759</v>
      </c>
      <c r="N930" t="inlineStr">
        <is>
          <t>긍정</t>
        </is>
      </c>
    </row>
    <row r="931">
      <c r="A931" s="1" t="inlineStr">
        <is>
          <t>2021-05-20</t>
        </is>
      </c>
      <c r="B931" t="inlineStr">
        <is>
          <t>news</t>
        </is>
      </c>
      <c r="C931" t="inlineStr">
        <is>
          <t>economy</t>
        </is>
      </c>
      <c r="D931" t="inlineStr">
        <is>
          <t>아시아경제</t>
        </is>
      </c>
      <c r="E931" t="inlineStr">
        <is>
          <t>최대열</t>
        </is>
      </c>
      <c r="F931" t="inlineStr">
        <is>
          <t>성장여력 충분한 美전기차시장, 완성차 1·2위 모두 韓배터리와 동맹</t>
        </is>
      </c>
      <c r="G931" s="2">
        <f>HYPERLINK("https://view.asiae.co.kr/article/2021052011333820191", "Go to Website")</f>
        <v/>
      </c>
      <c r="H931" t="inlineStr"/>
      <c r="I931" t="inlineStr">
        <is>
          <t>K64</t>
        </is>
      </c>
      <c r="J931" s="3" t="n">
        <v>0.483</v>
      </c>
      <c r="K931" t="inlineStr">
        <is>
          <t>금융업</t>
        </is>
      </c>
      <c r="L931" t="inlineStr"/>
      <c r="M931" t="inlineStr"/>
      <c r="N931" t="inlineStr"/>
    </row>
    <row r="932">
      <c r="A932" s="1" t="inlineStr">
        <is>
          <t>2021-05-20</t>
        </is>
      </c>
      <c r="B932" t="inlineStr">
        <is>
          <t>news</t>
        </is>
      </c>
      <c r="C932" t="inlineStr">
        <is>
          <t>economy</t>
        </is>
      </c>
      <c r="D932" t="inlineStr">
        <is>
          <t>뉴시스</t>
        </is>
      </c>
      <c r="E932" t="inlineStr">
        <is>
          <t>이예슬</t>
        </is>
      </c>
      <c r="F932" t="inlineStr">
        <is>
          <t>김형 대우건설 사장, 어린이 교통안전 캠페인 참여</t>
        </is>
      </c>
      <c r="G932" s="2">
        <f>HYPERLINK("http://www.newsis.com/view/?id=NISX20210520_0001447127&amp;cID=10401&amp;pID=10400", "Go to Website")</f>
        <v/>
      </c>
      <c r="H932" t="inlineStr"/>
      <c r="I932" t="inlineStr">
        <is>
          <t>F41</t>
        </is>
      </c>
      <c r="J932" s="3" t="n">
        <v>0.99</v>
      </c>
      <c r="K932" t="inlineStr">
        <is>
          <t>종합 건설업</t>
        </is>
      </c>
      <c r="L932" t="inlineStr">
        <is>
          <t>0</t>
        </is>
      </c>
      <c r="M932" s="3" t="n">
        <v>0.996</v>
      </c>
      <c r="N932" t="inlineStr">
        <is>
          <t>중립</t>
        </is>
      </c>
    </row>
    <row r="933">
      <c r="A933" s="1" t="inlineStr">
        <is>
          <t>2021-05-20</t>
        </is>
      </c>
      <c r="B933" t="inlineStr">
        <is>
          <t>news</t>
        </is>
      </c>
      <c r="C933" t="inlineStr">
        <is>
          <t>economy</t>
        </is>
      </c>
      <c r="D933" t="inlineStr">
        <is>
          <t>조선비즈</t>
        </is>
      </c>
      <c r="E933" t="inlineStr">
        <is>
          <t>권오은</t>
        </is>
      </c>
      <c r="F933" t="inlineStr">
        <is>
          <t>포스코, 호주 니켈 업체 지분 확보… 전기차 18만대분 공급 기대</t>
        </is>
      </c>
      <c r="G933" s="2">
        <f>HYPERLINK("https://biz.chosun.com/industry/company/2021/05/20/4JA4XCWWMBAKDBZATRLT7PPYBM/?utm_medium=original&amp;utm_campaign=biz", "Go to Website")</f>
        <v/>
      </c>
      <c r="H933" t="inlineStr"/>
      <c r="I933" t="inlineStr">
        <is>
          <t>C24</t>
        </is>
      </c>
      <c r="J933" s="3" t="n">
        <v>1</v>
      </c>
      <c r="K933" t="inlineStr">
        <is>
          <t>1차 금속 제조업</t>
        </is>
      </c>
      <c r="L933" t="inlineStr">
        <is>
          <t>1</t>
        </is>
      </c>
      <c r="M933" s="3" t="n">
        <v>0.967</v>
      </c>
      <c r="N933" t="inlineStr">
        <is>
          <t>긍정</t>
        </is>
      </c>
    </row>
    <row r="934">
      <c r="A934" s="1" t="inlineStr">
        <is>
          <t>2021-05-20</t>
        </is>
      </c>
      <c r="B934" t="inlineStr">
        <is>
          <t>news</t>
        </is>
      </c>
      <c r="C934" t="inlineStr">
        <is>
          <t>economy</t>
        </is>
      </c>
      <c r="D934" t="inlineStr">
        <is>
          <t>아시아경제</t>
        </is>
      </c>
      <c r="E934" t="inlineStr">
        <is>
          <t>백종민</t>
        </is>
      </c>
      <c r="F934" t="inlineStr">
        <is>
          <t>SK이노, 포드 택했다…美 전기차시장 급가속(종합)</t>
        </is>
      </c>
      <c r="G934" s="2">
        <f>HYPERLINK("https://view.asiae.co.kr/article/2021052011260771534", "Go to Website")</f>
        <v/>
      </c>
      <c r="H934" t="inlineStr"/>
      <c r="I934" t="inlineStr">
        <is>
          <t>C30</t>
        </is>
      </c>
      <c r="J934" s="3" t="n">
        <v>0.8129999999999999</v>
      </c>
      <c r="K934" t="inlineStr">
        <is>
          <t>자동차 및 트레일러 제조업</t>
        </is>
      </c>
      <c r="L934" t="inlineStr">
        <is>
          <t>0</t>
        </is>
      </c>
      <c r="M934" s="3" t="n">
        <v>0.746</v>
      </c>
      <c r="N934" t="inlineStr">
        <is>
          <t>중립</t>
        </is>
      </c>
    </row>
    <row r="935">
      <c r="A935" s="1" t="inlineStr">
        <is>
          <t>2021-05-20</t>
        </is>
      </c>
      <c r="B935" t="inlineStr">
        <is>
          <t>news</t>
        </is>
      </c>
      <c r="C935" t="inlineStr">
        <is>
          <t>economy</t>
        </is>
      </c>
      <c r="D935" t="inlineStr">
        <is>
          <t>데일리안</t>
        </is>
      </c>
      <c r="E935" t="inlineStr">
        <is>
          <t>박영국</t>
        </is>
      </c>
      <c r="F935" t="inlineStr">
        <is>
          <t>포스코, 호주 니켈 광산회사 지분 인수…年 전기차 18만대분 확보</t>
        </is>
      </c>
      <c r="G935" s="2">
        <f>HYPERLINK("https://www.dailian.co.kr/news/view/993020/", "Go to Website")</f>
        <v/>
      </c>
      <c r="H935" t="inlineStr"/>
      <c r="I935" t="inlineStr">
        <is>
          <t>C24</t>
        </is>
      </c>
      <c r="J935" s="3" t="n">
        <v>1</v>
      </c>
      <c r="K935" t="inlineStr">
        <is>
          <t>1차 금속 제조업</t>
        </is>
      </c>
      <c r="L935" t="inlineStr">
        <is>
          <t>1</t>
        </is>
      </c>
      <c r="M935" s="3" t="n">
        <v>0.631</v>
      </c>
      <c r="N935" t="inlineStr">
        <is>
          <t>긍정</t>
        </is>
      </c>
    </row>
    <row r="936">
      <c r="A936" s="1" t="inlineStr">
        <is>
          <t>2021-05-20</t>
        </is>
      </c>
      <c r="B936" t="inlineStr">
        <is>
          <t>news</t>
        </is>
      </c>
      <c r="C936" t="inlineStr">
        <is>
          <t>economy</t>
        </is>
      </c>
      <c r="D936" t="inlineStr">
        <is>
          <t>파이낸셜뉴스</t>
        </is>
      </c>
      <c r="E936" t="inlineStr">
        <is>
          <t>김미정</t>
        </is>
      </c>
      <c r="F936" t="inlineStr">
        <is>
          <t>포스코, 호주 이차전지용 니켈 광산회사 지분 30% 인수</t>
        </is>
      </c>
      <c r="G936" s="2">
        <f>HYPERLINK("http://www.fnnews.com/news/202105201124123792", "Go to Website")</f>
        <v/>
      </c>
      <c r="H936" t="inlineStr"/>
      <c r="I936" t="inlineStr">
        <is>
          <t>C24</t>
        </is>
      </c>
      <c r="J936" s="3" t="n">
        <v>1</v>
      </c>
      <c r="K936" t="inlineStr">
        <is>
          <t>1차 금속 제조업</t>
        </is>
      </c>
      <c r="L936" t="inlineStr">
        <is>
          <t>1</t>
        </is>
      </c>
      <c r="M936" s="3" t="n">
        <v>0.516</v>
      </c>
      <c r="N936" t="inlineStr">
        <is>
          <t>긍정</t>
        </is>
      </c>
    </row>
    <row r="937">
      <c r="A937" s="1" t="inlineStr">
        <is>
          <t>2021-05-20</t>
        </is>
      </c>
      <c r="B937" t="inlineStr">
        <is>
          <t>news</t>
        </is>
      </c>
      <c r="C937" t="inlineStr">
        <is>
          <t>economy</t>
        </is>
      </c>
      <c r="D937" t="inlineStr">
        <is>
          <t>이데일리</t>
        </is>
      </c>
      <c r="E937" t="inlineStr">
        <is>
          <t>김영수</t>
        </is>
      </c>
      <c r="F937" t="inlineStr">
        <is>
          <t>포스코, 2700억원에 호주 이차전지용 니켈 광산회사 지분 인수</t>
        </is>
      </c>
      <c r="G937" s="2">
        <f>HYPERLINK("http://www.edaily.co.kr/news/newspath.asp?newsid=02325526629050888", "Go to Website")</f>
        <v/>
      </c>
      <c r="H937" t="inlineStr"/>
      <c r="I937" t="inlineStr">
        <is>
          <t>C24</t>
        </is>
      </c>
      <c r="J937" s="3" t="n">
        <v>0.998</v>
      </c>
      <c r="K937" t="inlineStr">
        <is>
          <t>1차 금속 제조업</t>
        </is>
      </c>
      <c r="L937" t="inlineStr">
        <is>
          <t>1</t>
        </is>
      </c>
      <c r="M937" s="3" t="n">
        <v>0.479</v>
      </c>
      <c r="N937" t="inlineStr">
        <is>
          <t>긍정</t>
        </is>
      </c>
    </row>
    <row r="938">
      <c r="A938" s="1" t="inlineStr">
        <is>
          <t>2021-05-20</t>
        </is>
      </c>
      <c r="B938" t="inlineStr">
        <is>
          <t>news</t>
        </is>
      </c>
      <c r="C938" t="inlineStr">
        <is>
          <t>economy</t>
        </is>
      </c>
      <c r="D938" t="inlineStr">
        <is>
          <t>연합뉴스</t>
        </is>
      </c>
      <c r="E938" t="inlineStr">
        <is>
          <t>조재영</t>
        </is>
      </c>
      <c r="F938" t="inlineStr">
        <is>
          <t>포스코, 호주 이차전지용 니켈 광산회사 지분 30% 인수</t>
        </is>
      </c>
      <c r="G938" s="2">
        <f>HYPERLINK("http://yna.kr/AKR20210520071800003?did=1195m", "Go to Website")</f>
        <v/>
      </c>
      <c r="H938" t="inlineStr"/>
      <c r="I938" t="inlineStr">
        <is>
          <t>C24</t>
        </is>
      </c>
      <c r="J938" s="3" t="n">
        <v>1</v>
      </c>
      <c r="K938" t="inlineStr">
        <is>
          <t>1차 금속 제조업</t>
        </is>
      </c>
      <c r="L938" t="inlineStr">
        <is>
          <t>1</t>
        </is>
      </c>
      <c r="M938" s="3" t="n">
        <v>0.499</v>
      </c>
      <c r="N938" t="inlineStr">
        <is>
          <t>긍정</t>
        </is>
      </c>
    </row>
    <row r="939">
      <c r="A939" s="1" t="inlineStr">
        <is>
          <t>2021-05-20</t>
        </is>
      </c>
      <c r="B939" t="inlineStr">
        <is>
          <t>news</t>
        </is>
      </c>
      <c r="C939" t="inlineStr">
        <is>
          <t>economy</t>
        </is>
      </c>
      <c r="D939" t="inlineStr">
        <is>
          <t>SBS Biz</t>
        </is>
      </c>
      <c r="E939" t="inlineStr">
        <is>
          <t>권세욱</t>
        </is>
      </c>
      <c r="F939" t="inlineStr">
        <is>
          <t>기계산업 "전기 굴착기 등 친환경 기계에 전기차 수준 지원 필요"</t>
        </is>
      </c>
      <c r="G939" s="2">
        <f>HYPERLINK("https://biz.sbs.co.kr/article_hub/20000016136", "Go to Website")</f>
        <v/>
      </c>
      <c r="H939" t="inlineStr"/>
      <c r="I939" t="inlineStr">
        <is>
          <t>C29</t>
        </is>
      </c>
      <c r="J939" s="3" t="n">
        <v>0.944</v>
      </c>
      <c r="K939" t="inlineStr">
        <is>
          <t>기타 기계 및 장비 제조업</t>
        </is>
      </c>
      <c r="L939" t="inlineStr"/>
      <c r="M939" t="inlineStr"/>
      <c r="N939" t="inlineStr"/>
    </row>
    <row r="940">
      <c r="A940" s="1" t="inlineStr">
        <is>
          <t>2021-05-20</t>
        </is>
      </c>
      <c r="B940" t="inlineStr">
        <is>
          <t>news</t>
        </is>
      </c>
      <c r="C940" t="inlineStr">
        <is>
          <t>economy</t>
        </is>
      </c>
      <c r="D940" t="inlineStr">
        <is>
          <t>머니투데이</t>
        </is>
      </c>
      <c r="E940" t="inlineStr">
        <is>
          <t>김성은</t>
        </is>
      </c>
      <c r="F940" t="inlineStr">
        <is>
          <t>포드 탄 바이든·SK이노 가는 文…韓 배터리 '날개' 단다</t>
        </is>
      </c>
      <c r="G940" s="2">
        <f>HYPERLINK("http://news.mt.co.kr/mtview.php?no=2021052011130597510", "Go to Website")</f>
        <v/>
      </c>
      <c r="H940" t="inlineStr"/>
      <c r="I940" t="inlineStr">
        <is>
          <t>C14</t>
        </is>
      </c>
      <c r="J940" s="3" t="n">
        <v>0.221</v>
      </c>
      <c r="K940" t="inlineStr">
        <is>
          <t>의복, 의복 액세서리 및 모피제품 제조업</t>
        </is>
      </c>
      <c r="L940" t="inlineStr"/>
      <c r="M940" t="inlineStr"/>
      <c r="N940" t="inlineStr"/>
    </row>
    <row r="941">
      <c r="A941" s="1" t="inlineStr">
        <is>
          <t>2021-05-20</t>
        </is>
      </c>
      <c r="B941" t="inlineStr">
        <is>
          <t>news</t>
        </is>
      </c>
      <c r="C941" t="inlineStr">
        <is>
          <t>economy</t>
        </is>
      </c>
      <c r="D941" t="inlineStr">
        <is>
          <t>헤럴드경제</t>
        </is>
      </c>
      <c r="E941" t="inlineStr">
        <is>
          <t>정세희</t>
        </is>
      </c>
      <c r="F941" t="inlineStr">
        <is>
          <t>LG엔솔, 난징 2공장 증설 완료 中공략 박차</t>
        </is>
      </c>
      <c r="G941" s="2">
        <f>HYPERLINK("http://news.heraldcorp.com/view.php?ud=20210520000424", "Go to Website")</f>
        <v/>
      </c>
      <c r="H941" t="inlineStr"/>
      <c r="I941" t="inlineStr">
        <is>
          <t>C26</t>
        </is>
      </c>
      <c r="J941" s="3" t="n">
        <v>0.78</v>
      </c>
      <c r="K941" t="inlineStr">
        <is>
          <t>전자 부품, 컴퓨터, 영상, 음향 및 통신장비 제조업</t>
        </is>
      </c>
      <c r="L941" t="inlineStr"/>
      <c r="M941" t="inlineStr"/>
      <c r="N941" t="inlineStr"/>
    </row>
    <row r="942">
      <c r="A942" s="1" t="inlineStr">
        <is>
          <t>2021-05-20</t>
        </is>
      </c>
      <c r="B942" t="inlineStr">
        <is>
          <t>news</t>
        </is>
      </c>
      <c r="C942" t="inlineStr">
        <is>
          <t>economy</t>
        </is>
      </c>
      <c r="D942" t="inlineStr">
        <is>
          <t>헤럴드경제</t>
        </is>
      </c>
      <c r="E942" t="inlineStr">
        <is>
          <t>정찬수</t>
        </is>
      </c>
      <c r="F942" t="inlineStr">
        <is>
          <t>‘코로나 기저효과’ 타고...현대차그룹 유럽시장 ‘고속질주’</t>
        </is>
      </c>
      <c r="G942" s="2">
        <f>HYPERLINK("http://news.heraldcorp.com/view.php?ud=20210520000423", "Go to Website")</f>
        <v/>
      </c>
      <c r="H942" t="inlineStr"/>
      <c r="I942" t="inlineStr">
        <is>
          <t>H52</t>
        </is>
      </c>
      <c r="J942" s="3" t="n">
        <v>0.596</v>
      </c>
      <c r="K942" t="inlineStr">
        <is>
          <t>창고 및 운송관련 서비스업</t>
        </is>
      </c>
      <c r="L942" t="inlineStr"/>
      <c r="M942" t="inlineStr"/>
      <c r="N942" t="inlineStr"/>
    </row>
    <row r="943">
      <c r="A943" s="1" t="inlineStr">
        <is>
          <t>2021-05-20</t>
        </is>
      </c>
      <c r="B943" t="inlineStr">
        <is>
          <t>news</t>
        </is>
      </c>
      <c r="C943" t="inlineStr">
        <is>
          <t>economy</t>
        </is>
      </c>
      <c r="D943" t="inlineStr">
        <is>
          <t>헤럴드경제</t>
        </is>
      </c>
      <c r="E943" t="inlineStr">
        <is>
          <t>김현일</t>
        </is>
      </c>
      <c r="F943" t="inlineStr">
        <is>
          <t>SK, 美 배터리 투자 확대...‘바이 아메리칸’ 전략에 적극 화답 [배터리·반도체 글로벌 투자전쟁]</t>
        </is>
      </c>
      <c r="G943" s="2">
        <f>HYPERLINK("http://news.heraldcorp.com/view.php?ud=20210520000401", "Go to Website")</f>
        <v/>
      </c>
      <c r="H943" t="inlineStr"/>
      <c r="I943" t="inlineStr">
        <is>
          <t>K64</t>
        </is>
      </c>
      <c r="J943" s="3" t="n">
        <v>0.34</v>
      </c>
      <c r="K943" t="inlineStr">
        <is>
          <t>금융업</t>
        </is>
      </c>
      <c r="L943" t="inlineStr">
        <is>
          <t>1</t>
        </is>
      </c>
      <c r="M943" s="3" t="n">
        <v>0.9399999999999999</v>
      </c>
      <c r="N943" t="inlineStr">
        <is>
          <t>긍정</t>
        </is>
      </c>
    </row>
    <row r="944">
      <c r="A944" s="1" t="inlineStr">
        <is>
          <t>2021-05-20</t>
        </is>
      </c>
      <c r="B944" t="inlineStr">
        <is>
          <t>news</t>
        </is>
      </c>
      <c r="C944" t="inlineStr">
        <is>
          <t>economy</t>
        </is>
      </c>
      <c r="D944" t="inlineStr">
        <is>
          <t>한경비즈니스</t>
        </is>
      </c>
      <c r="E944" t="inlineStr">
        <is>
          <t>안옥희</t>
        </is>
      </c>
      <c r="F944" t="inlineStr">
        <is>
          <t>SK이노베이션, 포드와 배터리 합작법인 설립…LG·GM 동맹에 맞불</t>
        </is>
      </c>
      <c r="G944" s="2">
        <f>HYPERLINK("https://magazine.hankyung.com/business/article/202105200733b", "Go to Website")</f>
        <v/>
      </c>
      <c r="H944" t="inlineStr"/>
      <c r="I944" t="inlineStr">
        <is>
          <t>K64</t>
        </is>
      </c>
      <c r="J944" s="3" t="n">
        <v>0.998</v>
      </c>
      <c r="K944" t="inlineStr">
        <is>
          <t>금융업</t>
        </is>
      </c>
      <c r="L944" t="inlineStr">
        <is>
          <t>1</t>
        </is>
      </c>
      <c r="M944" s="3" t="n">
        <v>0.967</v>
      </c>
      <c r="N944" t="inlineStr">
        <is>
          <t>긍정</t>
        </is>
      </c>
    </row>
    <row r="945">
      <c r="A945" s="1" t="inlineStr">
        <is>
          <t>2021-05-20</t>
        </is>
      </c>
      <c r="B945" t="inlineStr">
        <is>
          <t>news</t>
        </is>
      </c>
      <c r="C945" t="inlineStr">
        <is>
          <t>economy</t>
        </is>
      </c>
      <c r="D945" t="inlineStr">
        <is>
          <t>아시아경제</t>
        </is>
      </c>
      <c r="E945" t="inlineStr">
        <is>
          <t>유제훈</t>
        </is>
      </c>
      <c r="F945" t="inlineStr">
        <is>
          <t>현대차·기아, 4월 유럽 판매량 전년 대비 4배 '껑충'</t>
        </is>
      </c>
      <c r="G945" s="2">
        <f>HYPERLINK("https://view.asiae.co.kr/article/2021052009473621708", "Go to Website")</f>
        <v/>
      </c>
      <c r="H945" t="inlineStr"/>
      <c r="I945" t="inlineStr">
        <is>
          <t>C30</t>
        </is>
      </c>
      <c r="J945" s="3" t="n">
        <v>1</v>
      </c>
      <c r="K945" t="inlineStr">
        <is>
          <t>자동차 및 트레일러 제조업</t>
        </is>
      </c>
      <c r="L945" t="inlineStr"/>
      <c r="M945" t="inlineStr"/>
      <c r="N945" t="inlineStr"/>
    </row>
    <row r="946">
      <c r="A946" s="1" t="inlineStr">
        <is>
          <t>2021-05-20</t>
        </is>
      </c>
      <c r="B946" t="inlineStr">
        <is>
          <t>news</t>
        </is>
      </c>
      <c r="C946" t="inlineStr">
        <is>
          <t>economy</t>
        </is>
      </c>
      <c r="D946" t="inlineStr">
        <is>
          <t>데일리안</t>
        </is>
      </c>
      <c r="E946" t="inlineStr">
        <is>
          <t>조인영</t>
        </is>
      </c>
      <c r="F946" t="inlineStr">
        <is>
          <t>제값 받겠다던 현대차, 해외서 RV 평균 5천만원 넘게 받았다</t>
        </is>
      </c>
      <c r="G946" s="2">
        <f>HYPERLINK("https://www.dailian.co.kr/news/view/992953/", "Go to Website")</f>
        <v/>
      </c>
      <c r="H946" t="inlineStr"/>
      <c r="I946" t="inlineStr">
        <is>
          <t>C30</t>
        </is>
      </c>
      <c r="J946" s="3" t="n">
        <v>1</v>
      </c>
      <c r="K946" t="inlineStr">
        <is>
          <t>자동차 및 트레일러 제조업</t>
        </is>
      </c>
      <c r="L946" t="inlineStr">
        <is>
          <t>1</t>
        </is>
      </c>
      <c r="M946" s="3" t="n">
        <v>0.848</v>
      </c>
      <c r="N946" t="inlineStr">
        <is>
          <t>긍정</t>
        </is>
      </c>
    </row>
    <row r="947">
      <c r="A947" s="1" t="inlineStr">
        <is>
          <t>2021-05-20</t>
        </is>
      </c>
      <c r="B947" t="inlineStr">
        <is>
          <t>news</t>
        </is>
      </c>
      <c r="C947" t="inlineStr">
        <is>
          <t>economy</t>
        </is>
      </c>
      <c r="D947" t="inlineStr">
        <is>
          <t>아시아경제</t>
        </is>
      </c>
      <c r="E947" t="inlineStr">
        <is>
          <t>송승섭</t>
        </is>
      </c>
      <c r="F947" t="inlineStr">
        <is>
          <t>세람저축銀 "친환경 차 타고 3% 적금 가입하세요"</t>
        </is>
      </c>
      <c r="G947" s="2">
        <f>HYPERLINK("https://view.asiae.co.kr/article/2021052011033390879", "Go to Website")</f>
        <v/>
      </c>
      <c r="H947" t="inlineStr"/>
      <c r="I947" t="inlineStr">
        <is>
          <t>K64</t>
        </is>
      </c>
      <c r="J947" s="3" t="n">
        <v>1</v>
      </c>
      <c r="K947" t="inlineStr">
        <is>
          <t>금융업</t>
        </is>
      </c>
      <c r="L947" t="inlineStr"/>
      <c r="M947" t="inlineStr"/>
      <c r="N947" t="inlineStr"/>
    </row>
    <row r="948">
      <c r="A948" s="1" t="inlineStr">
        <is>
          <t>2021-05-20</t>
        </is>
      </c>
      <c r="B948" t="inlineStr">
        <is>
          <t>news</t>
        </is>
      </c>
      <c r="C948" t="inlineStr">
        <is>
          <t>tech</t>
        </is>
      </c>
      <c r="D948" t="inlineStr">
        <is>
          <t>연합뉴스</t>
        </is>
      </c>
      <c r="E948" t="inlineStr">
        <is>
          <t>박종국</t>
        </is>
      </c>
      <c r="F948" t="inlineStr">
        <is>
          <t>충북혁신도시 공유 전기차 운행·스마트 응급체계 도입</t>
        </is>
      </c>
      <c r="G948" s="2">
        <f>HYPERLINK("http://yna.kr/AKR20210520064600064?did=1195m", "Go to Website")</f>
        <v/>
      </c>
      <c r="H948" t="inlineStr"/>
      <c r="I948" t="inlineStr"/>
      <c r="J948" t="inlineStr"/>
      <c r="K948" t="inlineStr"/>
      <c r="L948" t="inlineStr"/>
      <c r="M948" t="inlineStr"/>
      <c r="N948" t="inlineStr"/>
    </row>
    <row r="949">
      <c r="A949" s="1" t="inlineStr">
        <is>
          <t>2021-05-20</t>
        </is>
      </c>
      <c r="B949" t="inlineStr">
        <is>
          <t>news</t>
        </is>
      </c>
      <c r="C949" t="inlineStr">
        <is>
          <t>economy</t>
        </is>
      </c>
      <c r="D949" t="inlineStr">
        <is>
          <t>아시아경제</t>
        </is>
      </c>
      <c r="E949" t="inlineStr">
        <is>
          <t>김종화</t>
        </is>
      </c>
      <c r="F949" t="inlineStr">
        <is>
          <t>"초소형 전기차도 무선충전 시대로"</t>
        </is>
      </c>
      <c r="G949" s="2">
        <f>HYPERLINK("https://view.asiae.co.kr/article/2021051807232051908", "Go to Website")</f>
        <v/>
      </c>
      <c r="H949" t="inlineStr"/>
      <c r="I949" t="inlineStr">
        <is>
          <t>C23</t>
        </is>
      </c>
      <c r="J949" s="3" t="n">
        <v>0.769</v>
      </c>
      <c r="K949" t="inlineStr">
        <is>
          <t>비금속 광물제품 제조업</t>
        </is>
      </c>
      <c r="L949" t="inlineStr">
        <is>
          <t>0</t>
        </is>
      </c>
      <c r="M949" s="3" t="n">
        <v>0.888</v>
      </c>
      <c r="N949" t="inlineStr">
        <is>
          <t>중립</t>
        </is>
      </c>
    </row>
    <row r="950">
      <c r="A950" s="1" t="inlineStr">
        <is>
          <t>2021-05-20</t>
        </is>
      </c>
      <c r="B950" t="inlineStr">
        <is>
          <t>news</t>
        </is>
      </c>
      <c r="C950" t="inlineStr">
        <is>
          <t>economy</t>
        </is>
      </c>
      <c r="D950" t="inlineStr">
        <is>
          <t>아시아경제</t>
        </is>
      </c>
      <c r="E950" t="inlineStr">
        <is>
          <t>김종화</t>
        </is>
      </c>
      <c r="F950" t="inlineStr">
        <is>
          <t>배달·도심물류 커지면서 '초소형 전기차'도 씽씽</t>
        </is>
      </c>
      <c r="G950" s="2">
        <f>HYPERLINK("https://view.asiae.co.kr/article/2021051709204276966", "Go to Website")</f>
        <v/>
      </c>
      <c r="H950" t="inlineStr"/>
      <c r="I950" t="inlineStr">
        <is>
          <t>100</t>
        </is>
      </c>
      <c r="J950" s="3" t="n">
        <v>0.876</v>
      </c>
      <c r="K950" t="inlineStr">
        <is>
          <t>분류 제외, 기타</t>
        </is>
      </c>
      <c r="L950" t="inlineStr"/>
      <c r="M950" t="inlineStr"/>
      <c r="N950" t="inlineStr"/>
    </row>
    <row r="951">
      <c r="A951" s="1" t="inlineStr">
        <is>
          <t>2021-05-20</t>
        </is>
      </c>
      <c r="B951" t="inlineStr">
        <is>
          <t>news</t>
        </is>
      </c>
      <c r="C951" t="inlineStr">
        <is>
          <t>economy</t>
        </is>
      </c>
      <c r="D951" t="inlineStr">
        <is>
          <t>한겨레</t>
        </is>
      </c>
      <c r="E951" t="inlineStr">
        <is>
          <t>박종오</t>
        </is>
      </c>
      <c r="F951" t="inlineStr">
        <is>
          <t>SK이노베이션, 미국 포드와 전기차 배터리 생산 맞손</t>
        </is>
      </c>
      <c r="G951" s="2">
        <f>HYPERLINK("http://www.hani.co.kr/arti/economy/marketing/995930.html", "Go to Website")</f>
        <v/>
      </c>
      <c r="H951" t="inlineStr"/>
      <c r="I951" t="inlineStr">
        <is>
          <t>K64</t>
        </is>
      </c>
      <c r="J951" s="3" t="n">
        <v>0.995</v>
      </c>
      <c r="K951" t="inlineStr">
        <is>
          <t>금융업</t>
        </is>
      </c>
      <c r="L951" t="inlineStr">
        <is>
          <t>1</t>
        </is>
      </c>
      <c r="M951" s="3" t="n">
        <v>0.67</v>
      </c>
      <c r="N951" t="inlineStr">
        <is>
          <t>긍정</t>
        </is>
      </c>
    </row>
    <row r="952">
      <c r="A952" s="1" t="inlineStr">
        <is>
          <t>2021-05-20</t>
        </is>
      </c>
      <c r="B952" t="inlineStr">
        <is>
          <t>news</t>
        </is>
      </c>
      <c r="C952" t="inlineStr">
        <is>
          <t>economy</t>
        </is>
      </c>
      <c r="D952" t="inlineStr">
        <is>
          <t>이데일리</t>
        </is>
      </c>
      <c r="E952" t="inlineStr"/>
      <c r="F952" t="inlineStr">
        <is>
          <t>[이데일리N] SK이노-포드, 오늘 배터리셀 합작법인 설립 발표</t>
        </is>
      </c>
      <c r="G952" s="2">
        <f>HYPERLINK("http://www.edaily.co.kr/news/newspath.asp?newsid=02135286629050888", "Go to Website")</f>
        <v/>
      </c>
      <c r="H952" t="inlineStr"/>
      <c r="I952" t="inlineStr">
        <is>
          <t>K64</t>
        </is>
      </c>
      <c r="J952" s="3" t="n">
        <v>0.454</v>
      </c>
      <c r="K952" t="inlineStr">
        <is>
          <t>금융업</t>
        </is>
      </c>
      <c r="L952" t="inlineStr">
        <is>
          <t>0</t>
        </is>
      </c>
      <c r="M952" s="3" t="n">
        <v>0.697</v>
      </c>
      <c r="N952" t="inlineStr">
        <is>
          <t>중립</t>
        </is>
      </c>
    </row>
    <row r="953">
      <c r="A953" s="1" t="inlineStr">
        <is>
          <t>2021-05-20</t>
        </is>
      </c>
      <c r="B953" t="inlineStr">
        <is>
          <t>news</t>
        </is>
      </c>
      <c r="C953" t="inlineStr">
        <is>
          <t>economy</t>
        </is>
      </c>
      <c r="D953" t="inlineStr">
        <is>
          <t>머니투데이</t>
        </is>
      </c>
      <c r="E953" t="inlineStr">
        <is>
          <t>박진영</t>
        </is>
      </c>
      <c r="F953" t="inlineStr">
        <is>
          <t>코오롱글로벌, 홈 IoT '스마트 하늘채 IoK' 서비스 고도화</t>
        </is>
      </c>
      <c r="G953" s="2">
        <f>HYPERLINK("http://news.mt.co.kr/mtview.php?no=2021052010213372185", "Go to Website")</f>
        <v/>
      </c>
      <c r="H953" t="inlineStr"/>
      <c r="I953" t="inlineStr">
        <is>
          <t>F41</t>
        </is>
      </c>
      <c r="J953" s="3" t="n">
        <v>0.983</v>
      </c>
      <c r="K953" t="inlineStr">
        <is>
          <t>종합 건설업</t>
        </is>
      </c>
      <c r="L953" t="inlineStr">
        <is>
          <t>0</t>
        </is>
      </c>
      <c r="M953" s="3" t="n">
        <v>0.74</v>
      </c>
      <c r="N953" t="inlineStr">
        <is>
          <t>중립</t>
        </is>
      </c>
    </row>
    <row r="954">
      <c r="A954" s="1" t="inlineStr">
        <is>
          <t>2021-05-20</t>
        </is>
      </c>
      <c r="B954" t="inlineStr">
        <is>
          <t>news</t>
        </is>
      </c>
      <c r="C954" t="inlineStr">
        <is>
          <t>economy</t>
        </is>
      </c>
      <c r="D954" t="inlineStr">
        <is>
          <t>아이뉴스24</t>
        </is>
      </c>
      <c r="E954" t="inlineStr">
        <is>
          <t>강길홍</t>
        </is>
      </c>
      <c r="F954" t="inlineStr">
        <is>
          <t>SK이노, 美포드 손잡고 배터리셀 합작사 설립 추진</t>
        </is>
      </c>
      <c r="G954" s="2">
        <f>HYPERLINK("http://www.inews24.com/view/1368541", "Go to Website")</f>
        <v/>
      </c>
      <c r="H954" t="inlineStr"/>
      <c r="I954" t="inlineStr">
        <is>
          <t>K64</t>
        </is>
      </c>
      <c r="J954" s="3" t="n">
        <v>0.823</v>
      </c>
      <c r="K954" t="inlineStr">
        <is>
          <t>금융업</t>
        </is>
      </c>
      <c r="L954" t="inlineStr"/>
      <c r="M954" t="inlineStr"/>
      <c r="N954" t="inlineStr"/>
    </row>
    <row r="955">
      <c r="A955" s="1" t="inlineStr">
        <is>
          <t>2021-05-20</t>
        </is>
      </c>
      <c r="B955" t="inlineStr">
        <is>
          <t>news</t>
        </is>
      </c>
      <c r="C955" t="inlineStr">
        <is>
          <t>economy</t>
        </is>
      </c>
      <c r="D955" t="inlineStr">
        <is>
          <t>아시아경제</t>
        </is>
      </c>
      <c r="E955" t="inlineStr">
        <is>
          <t>류태민</t>
        </is>
      </c>
      <c r="F955" t="inlineStr">
        <is>
          <t>코오롱글로벌, 홈 IoT ‘스마트 하늘채 IoK’ 서비스 고도화</t>
        </is>
      </c>
      <c r="G955" s="2">
        <f>HYPERLINK("https://view.asiae.co.kr/article/2021052010401231724", "Go to Website")</f>
        <v/>
      </c>
      <c r="H955" t="inlineStr"/>
      <c r="I955" t="inlineStr">
        <is>
          <t>K64</t>
        </is>
      </c>
      <c r="J955" s="3" t="n">
        <v>0.744</v>
      </c>
      <c r="K955" t="inlineStr">
        <is>
          <t>금융업</t>
        </is>
      </c>
      <c r="L955" t="inlineStr">
        <is>
          <t>0</t>
        </is>
      </c>
      <c r="M955" s="3" t="n">
        <v>0.579</v>
      </c>
      <c r="N955" t="inlineStr">
        <is>
          <t>중립</t>
        </is>
      </c>
    </row>
    <row r="956">
      <c r="A956" s="1" t="inlineStr">
        <is>
          <t>2021-05-20</t>
        </is>
      </c>
      <c r="B956" t="inlineStr">
        <is>
          <t>news</t>
        </is>
      </c>
      <c r="C956" t="inlineStr">
        <is>
          <t>tech</t>
        </is>
      </c>
      <c r="D956" t="inlineStr">
        <is>
          <t>ZDNet Korea</t>
        </is>
      </c>
      <c r="E956" t="inlineStr">
        <is>
          <t>박영민</t>
        </is>
      </c>
      <c r="F956" t="inlineStr">
        <is>
          <t>LG엔솔, 1분기 中 제외 시장서 전기차배터리 1위</t>
        </is>
      </c>
      <c r="G956" s="2">
        <f>HYPERLINK("https://zdnet.co.kr/view/?no=20210520103106", "Go to Website")</f>
        <v/>
      </c>
      <c r="H956" t="inlineStr"/>
      <c r="I956" t="inlineStr"/>
      <c r="J956" t="inlineStr"/>
      <c r="K956" t="inlineStr"/>
      <c r="L956" t="inlineStr"/>
      <c r="M956" t="inlineStr"/>
      <c r="N956" t="inlineStr"/>
    </row>
    <row r="957">
      <c r="A957" s="1" t="inlineStr">
        <is>
          <t>2021-05-20</t>
        </is>
      </c>
      <c r="B957" t="inlineStr">
        <is>
          <t>news</t>
        </is>
      </c>
      <c r="C957" t="inlineStr">
        <is>
          <t>economy</t>
        </is>
      </c>
      <c r="D957" t="inlineStr">
        <is>
          <t>이코노미스트</t>
        </is>
      </c>
      <c r="E957" t="inlineStr"/>
      <c r="F957" t="inlineStr">
        <is>
          <t>[증시 이슈] LG화학, 테슬라 양극재 공급 소식에 상승세</t>
        </is>
      </c>
      <c r="G957" s="2">
        <f>HYPERLINK("https://economist.co.kr/2021/05/20/industry/normal/20210520103700334.html", "Go to Website")</f>
        <v/>
      </c>
      <c r="H957" t="inlineStr"/>
      <c r="I957" t="inlineStr">
        <is>
          <t>C20</t>
        </is>
      </c>
      <c r="J957" s="3" t="n">
        <v>1</v>
      </c>
      <c r="K957" t="inlineStr">
        <is>
          <t>화학 물질 및 화학제품 제조업; 의약품 제외</t>
        </is>
      </c>
      <c r="L957" t="inlineStr">
        <is>
          <t>1</t>
        </is>
      </c>
      <c r="M957" s="3" t="n">
        <v>0.957</v>
      </c>
      <c r="N957" t="inlineStr">
        <is>
          <t>긍정</t>
        </is>
      </c>
    </row>
    <row r="958">
      <c r="A958" s="1" t="inlineStr">
        <is>
          <t>2021-05-20</t>
        </is>
      </c>
      <c r="B958" t="inlineStr">
        <is>
          <t>news</t>
        </is>
      </c>
      <c r="C958" t="inlineStr">
        <is>
          <t>economy</t>
        </is>
      </c>
      <c r="D958" t="inlineStr">
        <is>
          <t>뉴스1</t>
        </is>
      </c>
      <c r="E958" t="inlineStr">
        <is>
          <t>문대현</t>
        </is>
      </c>
      <c r="F958" t="inlineStr">
        <is>
          <t>CJ대한통운, 2030년까지 全택배차량 '친환경 전기화물차'로 교체</t>
        </is>
      </c>
      <c r="G958" s="2">
        <f>HYPERLINK("https://www.news1.kr/articles/?4311965", "Go to Website")</f>
        <v/>
      </c>
      <c r="H958" t="inlineStr"/>
      <c r="I958" t="inlineStr">
        <is>
          <t>H49</t>
        </is>
      </c>
      <c r="J958" s="3" t="n">
        <v>1</v>
      </c>
      <c r="K958" t="inlineStr">
        <is>
          <t>육상 운송 및 파이프라인 운송업</t>
        </is>
      </c>
      <c r="L958" t="inlineStr">
        <is>
          <t>1</t>
        </is>
      </c>
      <c r="M958" s="3" t="n">
        <v>0.633</v>
      </c>
      <c r="N958" t="inlineStr">
        <is>
          <t>긍정</t>
        </is>
      </c>
    </row>
    <row r="959">
      <c r="A959" s="1" t="inlineStr">
        <is>
          <t>2021-05-20</t>
        </is>
      </c>
      <c r="B959" t="inlineStr">
        <is>
          <t>news</t>
        </is>
      </c>
      <c r="C959" t="inlineStr">
        <is>
          <t>economy</t>
        </is>
      </c>
      <c r="D959" t="inlineStr">
        <is>
          <t>문화일보</t>
        </is>
      </c>
      <c r="E959" t="inlineStr">
        <is>
          <t>이관범</t>
        </is>
      </c>
      <c r="F959" t="inlineStr">
        <is>
          <t>친환경 건설 기계에도 전기차에 준하는 세제 지원 시급</t>
        </is>
      </c>
      <c r="G959" s="2">
        <f>HYPERLINK("http://www.munhwa.com/news/view.html?no=20210520MW102555459606", "Go to Website")</f>
        <v/>
      </c>
      <c r="H959" t="inlineStr"/>
      <c r="I959" t="inlineStr">
        <is>
          <t>100</t>
        </is>
      </c>
      <c r="J959" s="3" t="n">
        <v>1</v>
      </c>
      <c r="K959" t="inlineStr">
        <is>
          <t>분류 제외, 기타</t>
        </is>
      </c>
      <c r="L959" t="inlineStr">
        <is>
          <t>0</t>
        </is>
      </c>
      <c r="M959" s="3" t="n">
        <v>0.944</v>
      </c>
      <c r="N959" t="inlineStr">
        <is>
          <t>중립</t>
        </is>
      </c>
    </row>
    <row r="960">
      <c r="A960" s="1" t="inlineStr">
        <is>
          <t>2021-05-20</t>
        </is>
      </c>
      <c r="B960" t="inlineStr">
        <is>
          <t>news</t>
        </is>
      </c>
      <c r="C960" t="inlineStr">
        <is>
          <t>economy</t>
        </is>
      </c>
      <c r="D960" t="inlineStr">
        <is>
          <t>파이낸셜뉴스</t>
        </is>
      </c>
      <c r="E960" t="inlineStr">
        <is>
          <t>박지영</t>
        </is>
      </c>
      <c r="F960" t="inlineStr">
        <is>
          <t>대우건설, 어린이 교통안전 릴레이 챌린지 참여</t>
        </is>
      </c>
      <c r="G960" s="2">
        <f>HYPERLINK("http://www.fnnews.com/news/202105201026418185", "Go to Website")</f>
        <v/>
      </c>
      <c r="H960" t="inlineStr"/>
      <c r="I960" t="inlineStr">
        <is>
          <t>F41</t>
        </is>
      </c>
      <c r="J960" s="3" t="n">
        <v>1</v>
      </c>
      <c r="K960" t="inlineStr">
        <is>
          <t>종합 건설업</t>
        </is>
      </c>
      <c r="L960" t="inlineStr">
        <is>
          <t>0</t>
        </is>
      </c>
      <c r="M960" s="3" t="n">
        <v>0.995</v>
      </c>
      <c r="N960" t="inlineStr">
        <is>
          <t>중립</t>
        </is>
      </c>
    </row>
    <row r="961">
      <c r="A961" s="1" t="inlineStr">
        <is>
          <t>2021-05-20</t>
        </is>
      </c>
      <c r="B961" t="inlineStr">
        <is>
          <t>news</t>
        </is>
      </c>
      <c r="C961" t="inlineStr">
        <is>
          <t>economy</t>
        </is>
      </c>
      <c r="D961" t="inlineStr">
        <is>
          <t>헤럴드경제</t>
        </is>
      </c>
      <c r="E961" t="inlineStr">
        <is>
          <t>정찬수</t>
        </is>
      </c>
      <c r="F961" t="inlineStr">
        <is>
          <t>CJ대한통운, ESG경영 성과 담은 지속가능경영 보고서 발간</t>
        </is>
      </c>
      <c r="G961" s="2">
        <f>HYPERLINK("http://news.heraldcorp.com/view.php?ud=20210520000229", "Go to Website")</f>
        <v/>
      </c>
      <c r="H961" t="inlineStr"/>
      <c r="I961" t="inlineStr">
        <is>
          <t>H49</t>
        </is>
      </c>
      <c r="J961" s="3" t="n">
        <v>1</v>
      </c>
      <c r="K961" t="inlineStr">
        <is>
          <t>육상 운송 및 파이프라인 운송업</t>
        </is>
      </c>
      <c r="L961" t="inlineStr">
        <is>
          <t>0</t>
        </is>
      </c>
      <c r="M961" s="3" t="n">
        <v>0.924</v>
      </c>
      <c r="N961" t="inlineStr">
        <is>
          <t>중립</t>
        </is>
      </c>
    </row>
    <row r="962">
      <c r="A962" s="1" t="inlineStr">
        <is>
          <t>2021-05-20</t>
        </is>
      </c>
      <c r="B962" t="inlineStr">
        <is>
          <t>news</t>
        </is>
      </c>
      <c r="C962" t="inlineStr">
        <is>
          <t>economy</t>
        </is>
      </c>
      <c r="D962" t="inlineStr">
        <is>
          <t>이데일리</t>
        </is>
      </c>
      <c r="E962" t="inlineStr">
        <is>
          <t>박정수</t>
        </is>
      </c>
      <c r="F962" t="inlineStr">
        <is>
          <t>글로벌에스엠, 1Q 영업익 전년비 274%↑…“사상 최대 실적”</t>
        </is>
      </c>
      <c r="G962" s="2">
        <f>HYPERLINK("http://www.edaily.co.kr/news/newspath.asp?newsid=02082806629050888", "Go to Website")</f>
        <v/>
      </c>
      <c r="H962" t="inlineStr"/>
      <c r="I962" t="inlineStr">
        <is>
          <t>C26</t>
        </is>
      </c>
      <c r="J962" s="3" t="n">
        <v>0.806</v>
      </c>
      <c r="K962" t="inlineStr">
        <is>
          <t>전자 부품, 컴퓨터, 영상, 음향 및 통신장비 제조업</t>
        </is>
      </c>
      <c r="L962" t="inlineStr">
        <is>
          <t>1</t>
        </is>
      </c>
      <c r="M962" s="3" t="n">
        <v>0.998</v>
      </c>
      <c r="N962" t="inlineStr">
        <is>
          <t>긍정</t>
        </is>
      </c>
    </row>
    <row r="963">
      <c r="A963" s="1" t="inlineStr">
        <is>
          <t>2021-05-20</t>
        </is>
      </c>
      <c r="B963" t="inlineStr">
        <is>
          <t>news</t>
        </is>
      </c>
      <c r="C963" t="inlineStr">
        <is>
          <t>economy</t>
        </is>
      </c>
      <c r="D963" t="inlineStr">
        <is>
          <t>파이낸셜뉴스</t>
        </is>
      </c>
      <c r="E963" t="inlineStr">
        <is>
          <t>최두선</t>
        </is>
      </c>
      <c r="F963" t="inlineStr">
        <is>
          <t>글로벌에스엠, 사상 최대 분기 실적 달성…1Q 영업익 274%↑</t>
        </is>
      </c>
      <c r="G963" s="2">
        <f>HYPERLINK("http://www.fnnews.com/news/202105201021095605", "Go to Website")</f>
        <v/>
      </c>
      <c r="H963" t="inlineStr"/>
      <c r="I963" t="inlineStr">
        <is>
          <t>K64</t>
        </is>
      </c>
      <c r="J963" s="3" t="n">
        <v>0.313</v>
      </c>
      <c r="K963" t="inlineStr">
        <is>
          <t>금융업</t>
        </is>
      </c>
      <c r="L963" t="inlineStr">
        <is>
          <t>1</t>
        </is>
      </c>
      <c r="M963" s="3" t="n">
        <v>1</v>
      </c>
      <c r="N963" t="inlineStr">
        <is>
          <t>긍정</t>
        </is>
      </c>
    </row>
    <row r="964">
      <c r="A964" s="1" t="inlineStr">
        <is>
          <t>2021-05-20</t>
        </is>
      </c>
      <c r="B964" t="inlineStr">
        <is>
          <t>news</t>
        </is>
      </c>
      <c r="C964" t="inlineStr">
        <is>
          <t>economy</t>
        </is>
      </c>
      <c r="D964" t="inlineStr">
        <is>
          <t>머니투데이</t>
        </is>
      </c>
      <c r="E964" t="inlineStr">
        <is>
          <t>김건우</t>
        </is>
      </c>
      <c r="F964" t="inlineStr">
        <is>
          <t>글로벌에스엠, 사상 최대 분기 실적 달성…1분기 영업익 YoY 274% ↑</t>
        </is>
      </c>
      <c r="G964" s="2">
        <f>HYPERLINK("http://news.mt.co.kr/mtview.php?no=2021052010200556136", "Go to Website")</f>
        <v/>
      </c>
      <c r="H964" t="inlineStr"/>
      <c r="I964" t="inlineStr">
        <is>
          <t>J58</t>
        </is>
      </c>
      <c r="J964" s="3" t="n">
        <v>0.442</v>
      </c>
      <c r="K964" t="inlineStr">
        <is>
          <t>출판업</t>
        </is>
      </c>
      <c r="L964" t="inlineStr">
        <is>
          <t>1</t>
        </is>
      </c>
      <c r="M964" s="3" t="n">
        <v>1</v>
      </c>
      <c r="N964" t="inlineStr">
        <is>
          <t>긍정</t>
        </is>
      </c>
    </row>
    <row r="965">
      <c r="A965" s="1" t="inlineStr">
        <is>
          <t>2021-05-20</t>
        </is>
      </c>
      <c r="B965" t="inlineStr">
        <is>
          <t>news</t>
        </is>
      </c>
      <c r="C965" t="inlineStr">
        <is>
          <t>economy</t>
        </is>
      </c>
      <c r="D965" t="inlineStr">
        <is>
          <t>헤럴드경제</t>
        </is>
      </c>
      <c r="E965" t="inlineStr">
        <is>
          <t>김은희</t>
        </is>
      </c>
      <c r="F965" t="inlineStr">
        <is>
          <t>대우건설, ‘어린이 교통안전 릴레이 챌린지’ 참여</t>
        </is>
      </c>
      <c r="G965" s="2">
        <f>HYPERLINK("http://news.heraldcorp.com/view.php?ud=20210520000217", "Go to Website")</f>
        <v/>
      </c>
      <c r="H965" t="inlineStr"/>
      <c r="I965" t="inlineStr">
        <is>
          <t>100</t>
        </is>
      </c>
      <c r="J965" s="3" t="n">
        <v>0.971</v>
      </c>
      <c r="K965" t="inlineStr">
        <is>
          <t>분류 제외, 기타</t>
        </is>
      </c>
      <c r="L965" t="inlineStr">
        <is>
          <t>0</t>
        </is>
      </c>
      <c r="M965" s="3" t="n">
        <v>0.996</v>
      </c>
      <c r="N965" t="inlineStr">
        <is>
          <t>중립</t>
        </is>
      </c>
    </row>
    <row r="966">
      <c r="A966" s="1" t="inlineStr">
        <is>
          <t>2021-05-20</t>
        </is>
      </c>
      <c r="B966" t="inlineStr">
        <is>
          <t>news</t>
        </is>
      </c>
      <c r="C966" t="inlineStr">
        <is>
          <t>economy</t>
        </is>
      </c>
      <c r="D966" t="inlineStr">
        <is>
          <t>뉴시스</t>
        </is>
      </c>
      <c r="E966" t="inlineStr">
        <is>
          <t>이재은</t>
        </is>
      </c>
      <c r="F966" t="inlineStr">
        <is>
          <t>'경제외교' 4대 그룹 방미길…한미정상회담서 투자발표 주목</t>
        </is>
      </c>
      <c r="G966" s="2">
        <f>HYPERLINK("http://www.newsis.com/view/?id=NISX20210520_0001446914&amp;cID=13001&amp;pID=13000", "Go to Website")</f>
        <v/>
      </c>
      <c r="H966" t="inlineStr"/>
      <c r="I966" t="inlineStr">
        <is>
          <t>K64</t>
        </is>
      </c>
      <c r="J966" s="3" t="n">
        <v>0.733</v>
      </c>
      <c r="K966" t="inlineStr">
        <is>
          <t>금융업</t>
        </is>
      </c>
      <c r="L966" t="inlineStr"/>
      <c r="M966" t="inlineStr"/>
      <c r="N966" t="inlineStr"/>
    </row>
    <row r="967">
      <c r="A967" s="1" t="inlineStr">
        <is>
          <t>2021-05-20</t>
        </is>
      </c>
      <c r="B967" t="inlineStr">
        <is>
          <t>news</t>
        </is>
      </c>
      <c r="C967" t="inlineStr">
        <is>
          <t>economy</t>
        </is>
      </c>
      <c r="D967" t="inlineStr">
        <is>
          <t>아시아경제</t>
        </is>
      </c>
      <c r="E967" t="inlineStr">
        <is>
          <t>유제훈</t>
        </is>
      </c>
      <c r="F967" t="inlineStr">
        <is>
          <t>람보르기니, 2023년 첫 HEV-2020년대 말 첫 순수 EV 출시</t>
        </is>
      </c>
      <c r="G967" s="2">
        <f>HYPERLINK("https://view.asiae.co.kr/article/2021052010210408078", "Go to Website")</f>
        <v/>
      </c>
      <c r="H967" t="inlineStr"/>
      <c r="I967" t="inlineStr">
        <is>
          <t>C30</t>
        </is>
      </c>
      <c r="J967" s="3" t="n">
        <v>0.997</v>
      </c>
      <c r="K967" t="inlineStr">
        <is>
          <t>자동차 및 트레일러 제조업</t>
        </is>
      </c>
      <c r="L967" t="inlineStr"/>
      <c r="M967" t="inlineStr"/>
      <c r="N967" t="inlineStr"/>
    </row>
    <row r="968">
      <c r="A968" s="1" t="inlineStr">
        <is>
          <t>2021-05-20</t>
        </is>
      </c>
      <c r="B968" t="inlineStr">
        <is>
          <t>news</t>
        </is>
      </c>
      <c r="C968" t="inlineStr">
        <is>
          <t>economy</t>
        </is>
      </c>
      <c r="D968" t="inlineStr">
        <is>
          <t>한경비즈니스</t>
        </is>
      </c>
      <c r="E968" t="inlineStr">
        <is>
          <t>정채희</t>
        </is>
      </c>
      <c r="F968" t="inlineStr">
        <is>
          <t>테슬라는 왜 도지코인 아닌 비트코인에 투자했을까[비트코인 A to Z]</t>
        </is>
      </c>
      <c r="G968" s="2">
        <f>HYPERLINK("https://magazine.hankyung.com/business/article/202105138084b", "Go to Website")</f>
        <v/>
      </c>
      <c r="H968" t="inlineStr"/>
      <c r="I968" t="inlineStr">
        <is>
          <t>R91</t>
        </is>
      </c>
      <c r="J968" s="3" t="n">
        <v>0.929</v>
      </c>
      <c r="K968" t="inlineStr">
        <is>
          <t>스포츠 및 오락관련 서비스업</t>
        </is>
      </c>
      <c r="L968" t="inlineStr"/>
      <c r="M968" t="inlineStr"/>
      <c r="N968" t="inlineStr"/>
    </row>
    <row r="969">
      <c r="A969" s="1" t="inlineStr">
        <is>
          <t>2021-05-20</t>
        </is>
      </c>
      <c r="B969" t="inlineStr">
        <is>
          <t>news</t>
        </is>
      </c>
      <c r="C969" t="inlineStr">
        <is>
          <t>economy</t>
        </is>
      </c>
      <c r="D969" t="inlineStr">
        <is>
          <t>한국경제</t>
        </is>
      </c>
      <c r="E969" t="inlineStr">
        <is>
          <t>안상미</t>
        </is>
      </c>
      <c r="F969" t="inlineStr">
        <is>
          <t>코오롱 하늘채, 이동통신 3사, 스마트 가전에 연동한 스마트 홈 서비스 선보인다</t>
        </is>
      </c>
      <c r="G969" s="2">
        <f>HYPERLINK("https://www.hankyung.com/realestate/article/202105209990i", "Go to Website")</f>
        <v/>
      </c>
      <c r="H969" t="inlineStr"/>
      <c r="I969" t="inlineStr">
        <is>
          <t>F41</t>
        </is>
      </c>
      <c r="J969" s="3" t="n">
        <v>0.715</v>
      </c>
      <c r="K969" t="inlineStr">
        <is>
          <t>종합 건설업</t>
        </is>
      </c>
      <c r="L969" t="inlineStr">
        <is>
          <t>1</t>
        </is>
      </c>
      <c r="M969" s="3" t="n">
        <v>0.781</v>
      </c>
      <c r="N969" t="inlineStr">
        <is>
          <t>긍정</t>
        </is>
      </c>
    </row>
    <row r="970">
      <c r="A970" s="1" t="inlineStr">
        <is>
          <t>2021-05-20</t>
        </is>
      </c>
      <c r="B970" t="inlineStr">
        <is>
          <t>news</t>
        </is>
      </c>
      <c r="C970" t="inlineStr">
        <is>
          <t>economy</t>
        </is>
      </c>
      <c r="D970" t="inlineStr">
        <is>
          <t>헤럴드경제</t>
        </is>
      </c>
      <c r="E970" t="inlineStr">
        <is>
          <t>이민경</t>
        </is>
      </c>
      <c r="F970" t="inlineStr">
        <is>
          <t>코오롱글로벌, ‘스마트 하늘채 IoK’ 서비스 업그레이드</t>
        </is>
      </c>
      <c r="G970" s="2">
        <f>HYPERLINK("http://news.heraldcorp.com/view.php?ud=20210520000193", "Go to Website")</f>
        <v/>
      </c>
      <c r="H970" t="inlineStr"/>
      <c r="I970" t="inlineStr">
        <is>
          <t>J61</t>
        </is>
      </c>
      <c r="J970" s="3" t="n">
        <v>0.948</v>
      </c>
      <c r="K970" t="inlineStr">
        <is>
          <t>우편 및 통신업</t>
        </is>
      </c>
      <c r="L970" t="inlineStr">
        <is>
          <t>0</t>
        </is>
      </c>
      <c r="M970" s="3" t="n">
        <v>0.8070000000000001</v>
      </c>
      <c r="N970" t="inlineStr">
        <is>
          <t>중립</t>
        </is>
      </c>
    </row>
    <row r="971">
      <c r="A971" s="1" t="inlineStr">
        <is>
          <t>2021-05-20</t>
        </is>
      </c>
      <c r="B971" t="inlineStr">
        <is>
          <t>news</t>
        </is>
      </c>
      <c r="C971" t="inlineStr">
        <is>
          <t>economy</t>
        </is>
      </c>
      <c r="D971" t="inlineStr">
        <is>
          <t>조선비즈</t>
        </is>
      </c>
      <c r="E971" t="inlineStr">
        <is>
          <t>이윤정</t>
        </is>
      </c>
      <c r="F971" t="inlineStr">
        <is>
          <t>SK이노베이션, 美포드와 배터리 조인트벤처 설립</t>
        </is>
      </c>
      <c r="G971" s="2">
        <f>HYPERLINK("https://biz.chosun.com/industry/company/2021/05/20/IY34E7EQ5JBQ5DOHZRGKB5PTQE/?utm_medium=original&amp;utm_campaign=biz", "Go to Website")</f>
        <v/>
      </c>
      <c r="H971" t="inlineStr"/>
      <c r="I971" t="inlineStr">
        <is>
          <t>K64</t>
        </is>
      </c>
      <c r="J971" s="3" t="n">
        <v>0.992</v>
      </c>
      <c r="K971" t="inlineStr">
        <is>
          <t>금융업</t>
        </is>
      </c>
      <c r="L971" t="inlineStr">
        <is>
          <t>1</t>
        </is>
      </c>
      <c r="M971" s="3" t="n">
        <v>0.924</v>
      </c>
      <c r="N971" t="inlineStr">
        <is>
          <t>긍정</t>
        </is>
      </c>
    </row>
    <row r="972">
      <c r="A972" s="1" t="inlineStr">
        <is>
          <t>2021-05-20</t>
        </is>
      </c>
      <c r="B972" t="inlineStr">
        <is>
          <t>news</t>
        </is>
      </c>
      <c r="C972" t="inlineStr">
        <is>
          <t>economy</t>
        </is>
      </c>
      <c r="D972" t="inlineStr">
        <is>
          <t>머니투데이</t>
        </is>
      </c>
      <c r="E972" t="inlineStr">
        <is>
          <t>오문영</t>
        </is>
      </c>
      <c r="F972" t="inlineStr">
        <is>
          <t>생산성본부, 3D 모델링 디자인 공모전 열어</t>
        </is>
      </c>
      <c r="G972" s="2">
        <f>HYPERLINK("http://news.mt.co.kr/mtview.php?no=2021052009542257793", "Go to Website")</f>
        <v/>
      </c>
      <c r="H972" t="inlineStr"/>
      <c r="I972" t="inlineStr">
        <is>
          <t>P85</t>
        </is>
      </c>
      <c r="J972" s="3" t="n">
        <v>0.888</v>
      </c>
      <c r="K972" t="inlineStr">
        <is>
          <t>교육 서비스업</t>
        </is>
      </c>
      <c r="L972" t="inlineStr">
        <is>
          <t>0</t>
        </is>
      </c>
      <c r="M972" s="3" t="n">
        <v>0.998</v>
      </c>
      <c r="N972" t="inlineStr">
        <is>
          <t>중립</t>
        </is>
      </c>
    </row>
    <row r="973">
      <c r="A973" s="1" t="inlineStr">
        <is>
          <t>2021-05-20</t>
        </is>
      </c>
      <c r="B973" t="inlineStr">
        <is>
          <t>news</t>
        </is>
      </c>
      <c r="C973" t="inlineStr">
        <is>
          <t>economy</t>
        </is>
      </c>
      <c r="D973" t="inlineStr">
        <is>
          <t>세계일보</t>
        </is>
      </c>
      <c r="E973" t="inlineStr">
        <is>
          <t>김현주</t>
        </is>
      </c>
      <c r="F973" t="inlineStr">
        <is>
          <t>CJ대한통운, ESG경영 성과 담은 지속가능경영 보고서 발간</t>
        </is>
      </c>
      <c r="G973" s="2">
        <f>HYPERLINK("http://www.segye.com/content/html/2021/05/20/20210520505036.html", "Go to Website")</f>
        <v/>
      </c>
      <c r="H973" t="inlineStr"/>
      <c r="I973" t="inlineStr">
        <is>
          <t>H49</t>
        </is>
      </c>
      <c r="J973" s="3" t="n">
        <v>1</v>
      </c>
      <c r="K973" t="inlineStr">
        <is>
          <t>육상 운송 및 파이프라인 운송업</t>
        </is>
      </c>
      <c r="L973" t="inlineStr">
        <is>
          <t>0</t>
        </is>
      </c>
      <c r="M973" s="3" t="n">
        <v>0.861</v>
      </c>
      <c r="N973" t="inlineStr">
        <is>
          <t>중립</t>
        </is>
      </c>
    </row>
    <row r="974">
      <c r="A974" s="1" t="inlineStr">
        <is>
          <t>2021-05-20</t>
        </is>
      </c>
      <c r="B974" t="inlineStr">
        <is>
          <t>news</t>
        </is>
      </c>
      <c r="C974" t="inlineStr">
        <is>
          <t>economy</t>
        </is>
      </c>
      <c r="D974" t="inlineStr">
        <is>
          <t>한국경제</t>
        </is>
      </c>
      <c r="E974" t="inlineStr">
        <is>
          <t>박상용</t>
        </is>
      </c>
      <c r="F974" t="inlineStr">
        <is>
          <t>중국 등 정부가 규제하지 않으면 가상화폐 가격이 오를까 [독점 UBS리포트]</t>
        </is>
      </c>
      <c r="G974" s="2">
        <f>HYPERLINK("https://www.hankyung.com/finance/article/202105200189i", "Go to Website")</f>
        <v/>
      </c>
      <c r="H974" t="inlineStr"/>
      <c r="I974" t="inlineStr">
        <is>
          <t>K64</t>
        </is>
      </c>
      <c r="J974" s="3" t="n">
        <v>0.878</v>
      </c>
      <c r="K974" t="inlineStr">
        <is>
          <t>금융업</t>
        </is>
      </c>
      <c r="L974" t="inlineStr"/>
      <c r="M974" t="inlineStr"/>
      <c r="N974" t="inlineStr"/>
    </row>
    <row r="975">
      <c r="A975" s="1" t="inlineStr">
        <is>
          <t>2021-05-20</t>
        </is>
      </c>
      <c r="B975" t="inlineStr">
        <is>
          <t>news</t>
        </is>
      </c>
      <c r="C975" t="inlineStr">
        <is>
          <t>economy</t>
        </is>
      </c>
      <c r="D975" t="inlineStr">
        <is>
          <t>머니투데이</t>
        </is>
      </c>
      <c r="E975" t="inlineStr">
        <is>
          <t>유엄식</t>
        </is>
      </c>
      <c r="F975" t="inlineStr">
        <is>
          <t>김형 대우건설 사장, 어린이 교통안전 릴레이 챌린지 참여</t>
        </is>
      </c>
      <c r="G975" s="2">
        <f>HYPERLINK("http://news.mt.co.kr/mtview.php?no=2021052009290236204", "Go to Website")</f>
        <v/>
      </c>
      <c r="H975" t="inlineStr"/>
      <c r="I975" t="inlineStr">
        <is>
          <t>F41</t>
        </is>
      </c>
      <c r="J975" s="3" t="n">
        <v>1</v>
      </c>
      <c r="K975" t="inlineStr">
        <is>
          <t>종합 건설업</t>
        </is>
      </c>
      <c r="L975" t="inlineStr">
        <is>
          <t>0</t>
        </is>
      </c>
      <c r="M975" s="3" t="n">
        <v>0.999</v>
      </c>
      <c r="N975" t="inlineStr">
        <is>
          <t>중립</t>
        </is>
      </c>
    </row>
    <row r="976">
      <c r="A976" s="1" t="inlineStr">
        <is>
          <t>2021-05-20</t>
        </is>
      </c>
      <c r="B976" t="inlineStr">
        <is>
          <t>news</t>
        </is>
      </c>
      <c r="C976" t="inlineStr">
        <is>
          <t>economy</t>
        </is>
      </c>
      <c r="D976" t="inlineStr">
        <is>
          <t>머니투데이</t>
        </is>
      </c>
      <c r="E976" t="inlineStr">
        <is>
          <t>최석환</t>
        </is>
      </c>
      <c r="F976" t="inlineStr">
        <is>
          <t>현대차·기아 살아난 유럽서 날았다..판매량 4배 껑충</t>
        </is>
      </c>
      <c r="G976" s="2">
        <f>HYPERLINK("http://news.mt.co.kr/mtview.php?no=2021052009095410275", "Go to Website")</f>
        <v/>
      </c>
      <c r="H976" t="inlineStr"/>
      <c r="I976" t="inlineStr">
        <is>
          <t>C30</t>
        </is>
      </c>
      <c r="J976" s="3" t="n">
        <v>1</v>
      </c>
      <c r="K976" t="inlineStr">
        <is>
          <t>자동차 및 트레일러 제조업</t>
        </is>
      </c>
      <c r="L976" t="inlineStr"/>
      <c r="M976" t="inlineStr"/>
      <c r="N976" t="inlineStr"/>
    </row>
    <row r="977">
      <c r="A977" s="1" t="inlineStr">
        <is>
          <t>2021-05-20</t>
        </is>
      </c>
      <c r="B977" t="inlineStr">
        <is>
          <t>news</t>
        </is>
      </c>
      <c r="C977" t="inlineStr">
        <is>
          <t>economy</t>
        </is>
      </c>
      <c r="D977" t="inlineStr">
        <is>
          <t>아이뉴스24</t>
        </is>
      </c>
      <c r="E977" t="inlineStr">
        <is>
          <t>이영웅</t>
        </is>
      </c>
      <c r="F977" t="inlineStr">
        <is>
          <t>대우건설, '어린이 교통안전 릴레이 챌린지' 참여</t>
        </is>
      </c>
      <c r="G977" s="2">
        <f>HYPERLINK("http://www.inews24.com/view/1368501", "Go to Website")</f>
        <v/>
      </c>
      <c r="H977" t="inlineStr"/>
      <c r="I977" t="inlineStr">
        <is>
          <t>F41</t>
        </is>
      </c>
      <c r="J977" s="3" t="n">
        <v>0.999</v>
      </c>
      <c r="K977" t="inlineStr">
        <is>
          <t>종합 건설업</t>
        </is>
      </c>
      <c r="L977" t="inlineStr">
        <is>
          <t>0</t>
        </is>
      </c>
      <c r="M977" s="3" t="n">
        <v>0.997</v>
      </c>
      <c r="N977" t="inlineStr">
        <is>
          <t>중립</t>
        </is>
      </c>
    </row>
    <row r="978">
      <c r="A978" s="1" t="inlineStr">
        <is>
          <t>2021-05-20</t>
        </is>
      </c>
      <c r="B978" t="inlineStr">
        <is>
          <t>news</t>
        </is>
      </c>
      <c r="C978" t="inlineStr">
        <is>
          <t>economy</t>
        </is>
      </c>
      <c r="D978" t="inlineStr">
        <is>
          <t>뉴스1</t>
        </is>
      </c>
      <c r="E978" t="inlineStr">
        <is>
          <t>박형기</t>
        </is>
      </c>
      <c r="F978" t="inlineStr">
        <is>
          <t>‘빅 쇼트’의 버리는 테슬라 주식 매도하는데 캐시 우드는 더 샀다</t>
        </is>
      </c>
      <c r="G978" s="2">
        <f>HYPERLINK("https://www.news1.kr/articles/?4311895", "Go to Website")</f>
        <v/>
      </c>
      <c r="H978" t="inlineStr"/>
      <c r="I978" t="inlineStr">
        <is>
          <t>J59</t>
        </is>
      </c>
      <c r="J978" s="3" t="n">
        <v>0.885</v>
      </c>
      <c r="K978" t="inlineStr">
        <is>
          <t>영상ㆍ오디오 기록물 제작 및 배급업</t>
        </is>
      </c>
      <c r="L978" t="inlineStr"/>
      <c r="M978" t="inlineStr"/>
      <c r="N978" t="inlineStr"/>
    </row>
    <row r="979">
      <c r="A979" s="1" t="inlineStr">
        <is>
          <t>2021-05-20</t>
        </is>
      </c>
      <c r="B979" t="inlineStr">
        <is>
          <t>news</t>
        </is>
      </c>
      <c r="C979" t="inlineStr">
        <is>
          <t>economy</t>
        </is>
      </c>
      <c r="D979" t="inlineStr">
        <is>
          <t>헤럴드경제</t>
        </is>
      </c>
      <c r="E979" t="inlineStr">
        <is>
          <t>정찬수</t>
        </is>
      </c>
      <c r="F979" t="inlineStr">
        <is>
          <t>코로나 기저효과…현대차그룹 4월 유럽 판매 4배 ‘껑충’</t>
        </is>
      </c>
      <c r="G979" s="2">
        <f>HYPERLINK("http://news.heraldcorp.com/view.php?ud=20210520000156", "Go to Website")</f>
        <v/>
      </c>
      <c r="H979" t="inlineStr"/>
      <c r="I979" t="inlineStr">
        <is>
          <t>H52</t>
        </is>
      </c>
      <c r="J979" s="3" t="n">
        <v>0.488</v>
      </c>
      <c r="K979" t="inlineStr">
        <is>
          <t>창고 및 운송관련 서비스업</t>
        </is>
      </c>
      <c r="L979" t="inlineStr"/>
      <c r="M979" t="inlineStr"/>
      <c r="N979" t="inlineStr"/>
    </row>
    <row r="980">
      <c r="A980" s="1" t="inlineStr">
        <is>
          <t>2021-05-20</t>
        </is>
      </c>
      <c r="B980" t="inlineStr">
        <is>
          <t>news</t>
        </is>
      </c>
      <c r="C980" t="inlineStr">
        <is>
          <t>economy</t>
        </is>
      </c>
      <c r="D980" t="inlineStr">
        <is>
          <t>뉴스1</t>
        </is>
      </c>
      <c r="E980" t="inlineStr">
        <is>
          <t>정은지</t>
        </is>
      </c>
      <c r="F980" t="inlineStr">
        <is>
          <t>[특징주] LG화학, 外人 매수세에 2%대 상승…90만원 회복</t>
        </is>
      </c>
      <c r="G980" s="2">
        <f>HYPERLINK("https://www.news1.kr/articles/?4311868", "Go to Website")</f>
        <v/>
      </c>
      <c r="H980" t="inlineStr"/>
      <c r="I980" t="inlineStr">
        <is>
          <t>C20</t>
        </is>
      </c>
      <c r="J980" s="3" t="n">
        <v>1</v>
      </c>
      <c r="K980" t="inlineStr">
        <is>
          <t>화학 물질 및 화학제품 제조업; 의약품 제외</t>
        </is>
      </c>
      <c r="L980" t="inlineStr">
        <is>
          <t>1</t>
        </is>
      </c>
      <c r="M980" s="3" t="n">
        <v>0.995</v>
      </c>
      <c r="N980" t="inlineStr">
        <is>
          <t>긍정</t>
        </is>
      </c>
    </row>
    <row r="981">
      <c r="A981" s="1" t="inlineStr">
        <is>
          <t>2021-05-20</t>
        </is>
      </c>
      <c r="B981" t="inlineStr">
        <is>
          <t>news</t>
        </is>
      </c>
      <c r="C981" t="inlineStr">
        <is>
          <t>economy</t>
        </is>
      </c>
      <c r="D981" t="inlineStr">
        <is>
          <t>이데일리</t>
        </is>
      </c>
      <c r="E981" t="inlineStr">
        <is>
          <t>김영수</t>
        </is>
      </c>
      <c r="F981" t="inlineStr">
        <is>
          <t>SK이노베이션-포드, 전기차 배터리셀 JV 설립한다(종합)</t>
        </is>
      </c>
      <c r="G981" s="2">
        <f>HYPERLINK("http://www.edaily.co.kr/news/newspath.asp?newsid=01813846629050888", "Go to Website")</f>
        <v/>
      </c>
      <c r="H981" t="inlineStr"/>
      <c r="I981" t="inlineStr">
        <is>
          <t>K64</t>
        </is>
      </c>
      <c r="J981" s="3" t="n">
        <v>0.619</v>
      </c>
      <c r="K981" t="inlineStr">
        <is>
          <t>금융업</t>
        </is>
      </c>
      <c r="L981" t="inlineStr">
        <is>
          <t>1</t>
        </is>
      </c>
      <c r="M981" s="3" t="n">
        <v>0.98</v>
      </c>
      <c r="N981" t="inlineStr">
        <is>
          <t>긍정</t>
        </is>
      </c>
    </row>
    <row r="982">
      <c r="A982" s="1" t="inlineStr">
        <is>
          <t>2021-05-20</t>
        </is>
      </c>
      <c r="B982" t="inlineStr">
        <is>
          <t>news</t>
        </is>
      </c>
      <c r="C982" t="inlineStr">
        <is>
          <t>economy</t>
        </is>
      </c>
      <c r="D982" t="inlineStr">
        <is>
          <t>연합뉴스</t>
        </is>
      </c>
      <c r="E982" t="inlineStr"/>
      <c r="F982" t="inlineStr">
        <is>
          <t>[게시판] 대우건설 김형 사장 '어린이 교통안전 챌린지' 참여</t>
        </is>
      </c>
      <c r="G982" s="2">
        <f>HYPERLINK("http://yna.kr/AKR20210520042700003?did=1195m", "Go to Website")</f>
        <v/>
      </c>
      <c r="H982" t="inlineStr"/>
      <c r="I982" t="inlineStr">
        <is>
          <t>F41</t>
        </is>
      </c>
      <c r="J982" s="3" t="n">
        <v>0.996</v>
      </c>
      <c r="K982" t="inlineStr">
        <is>
          <t>종합 건설업</t>
        </is>
      </c>
      <c r="L982" t="inlineStr">
        <is>
          <t>0</t>
        </is>
      </c>
      <c r="M982" s="3" t="n">
        <v>1</v>
      </c>
      <c r="N982" t="inlineStr">
        <is>
          <t>중립</t>
        </is>
      </c>
    </row>
    <row r="983">
      <c r="A983" s="1" t="inlineStr">
        <is>
          <t>2021-05-20</t>
        </is>
      </c>
      <c r="B983" t="inlineStr">
        <is>
          <t>news</t>
        </is>
      </c>
      <c r="C983" t="inlineStr">
        <is>
          <t>economy</t>
        </is>
      </c>
      <c r="D983" t="inlineStr">
        <is>
          <t>서울경제</t>
        </is>
      </c>
      <c r="E983" t="inlineStr">
        <is>
          <t>김정욱</t>
        </is>
      </c>
      <c r="F983" t="inlineStr">
        <is>
          <t>한국생산성본부, 3D 모델링 디자인 공모전 진행</t>
        </is>
      </c>
      <c r="G983" s="2">
        <f>HYPERLINK("https://www.sedaily.com/NewsView/22MFMNON9T", "Go to Website")</f>
        <v/>
      </c>
      <c r="H983" t="inlineStr"/>
      <c r="I983" t="inlineStr">
        <is>
          <t>P85</t>
        </is>
      </c>
      <c r="J983" s="3" t="n">
        <v>1</v>
      </c>
      <c r="K983" t="inlineStr">
        <is>
          <t>교육 서비스업</t>
        </is>
      </c>
      <c r="L983" t="inlineStr">
        <is>
          <t>0</t>
        </is>
      </c>
      <c r="M983" s="3" t="n">
        <v>0.999</v>
      </c>
      <c r="N983" t="inlineStr">
        <is>
          <t>중립</t>
        </is>
      </c>
    </row>
    <row r="984">
      <c r="A984" s="1" t="inlineStr">
        <is>
          <t>2021-05-20</t>
        </is>
      </c>
      <c r="B984" t="inlineStr">
        <is>
          <t>news</t>
        </is>
      </c>
      <c r="C984" t="inlineStr">
        <is>
          <t>economy</t>
        </is>
      </c>
      <c r="D984" t="inlineStr">
        <is>
          <t>한국경제</t>
        </is>
      </c>
      <c r="E984" t="inlineStr">
        <is>
          <t>한경닷컴</t>
        </is>
      </c>
      <c r="F984" t="inlineStr">
        <is>
          <t>'배터리 합종연횡' 본격화…SK, 포드 손잡고 LG·GM 연합에 맞불</t>
        </is>
      </c>
      <c r="G984" s="2">
        <f>HYPERLINK("https://www.hankyung.com/economy/article/202105209651g", "Go to Website")</f>
        <v/>
      </c>
      <c r="H984" t="inlineStr"/>
      <c r="I984" t="inlineStr">
        <is>
          <t>K64</t>
        </is>
      </c>
      <c r="J984" s="3" t="n">
        <v>0.9</v>
      </c>
      <c r="K984" t="inlineStr">
        <is>
          <t>금융업</t>
        </is>
      </c>
      <c r="L984" t="inlineStr">
        <is>
          <t>1</t>
        </is>
      </c>
      <c r="M984" s="3" t="n">
        <v>0.679</v>
      </c>
      <c r="N984" t="inlineStr">
        <is>
          <t>긍정</t>
        </is>
      </c>
    </row>
    <row r="985">
      <c r="A985" s="1" t="inlineStr">
        <is>
          <t>2021-05-20</t>
        </is>
      </c>
      <c r="B985" t="inlineStr">
        <is>
          <t>news</t>
        </is>
      </c>
      <c r="C985" t="inlineStr">
        <is>
          <t>economy</t>
        </is>
      </c>
      <c r="D985" t="inlineStr">
        <is>
          <t>뉴스1</t>
        </is>
      </c>
      <c r="E985" t="inlineStr">
        <is>
          <t>박승희</t>
        </is>
      </c>
      <c r="F985" t="inlineStr">
        <is>
          <t>대우건설, '어린이 교통안전 릴레이 챌린지' 참여</t>
        </is>
      </c>
      <c r="G985" s="2">
        <f>HYPERLINK("https://www.news1.kr/articles/?4311844", "Go to Website")</f>
        <v/>
      </c>
      <c r="H985" t="inlineStr"/>
      <c r="I985" t="inlineStr">
        <is>
          <t>100</t>
        </is>
      </c>
      <c r="J985" s="3" t="n">
        <v>0.758</v>
      </c>
      <c r="K985" t="inlineStr">
        <is>
          <t>분류 제외, 기타</t>
        </is>
      </c>
      <c r="L985" t="inlineStr">
        <is>
          <t>0</t>
        </is>
      </c>
      <c r="M985" s="3" t="n">
        <v>0.997</v>
      </c>
      <c r="N985" t="inlineStr">
        <is>
          <t>중립</t>
        </is>
      </c>
    </row>
    <row r="986">
      <c r="A986" s="1" t="inlineStr">
        <is>
          <t>2021-05-20</t>
        </is>
      </c>
      <c r="B986" t="inlineStr">
        <is>
          <t>news</t>
        </is>
      </c>
      <c r="C986" t="inlineStr">
        <is>
          <t>economy</t>
        </is>
      </c>
      <c r="D986" t="inlineStr">
        <is>
          <t>파이낸셜뉴스</t>
        </is>
      </c>
      <c r="E986" t="inlineStr">
        <is>
          <t>안태호</t>
        </is>
      </c>
      <c r="F986" t="inlineStr">
        <is>
          <t>LG엔솔, 中시장 제외 글로벌 1위.."CATL 신흥 강자 부상"</t>
        </is>
      </c>
      <c r="G986" s="2">
        <f>HYPERLINK("http://www.fnnews.com/news/202105200921147258", "Go to Website")</f>
        <v/>
      </c>
      <c r="H986" t="inlineStr"/>
      <c r="I986" t="inlineStr">
        <is>
          <t>C28</t>
        </is>
      </c>
      <c r="J986" s="3" t="n">
        <v>0.637</v>
      </c>
      <c r="K986" t="inlineStr">
        <is>
          <t>전기장비 제조업</t>
        </is>
      </c>
      <c r="L986" t="inlineStr"/>
      <c r="M986" t="inlineStr"/>
      <c r="N986" t="inlineStr"/>
    </row>
    <row r="987">
      <c r="A987" s="1" t="inlineStr">
        <is>
          <t>2021-05-20</t>
        </is>
      </c>
      <c r="B987" t="inlineStr">
        <is>
          <t>news</t>
        </is>
      </c>
      <c r="C987" t="inlineStr">
        <is>
          <t>economy</t>
        </is>
      </c>
      <c r="D987" t="inlineStr">
        <is>
          <t>아이뉴스24</t>
        </is>
      </c>
      <c r="E987" t="inlineStr">
        <is>
          <t>강길홍</t>
        </is>
      </c>
      <c r="F987" t="inlineStr">
        <is>
          <t>CJ대한통운, 지속가능경영보고서 발간…ESG경영 성과 담아</t>
        </is>
      </c>
      <c r="G987" s="2">
        <f>HYPERLINK("http://www.inews24.com/view/1368477", "Go to Website")</f>
        <v/>
      </c>
      <c r="H987" t="inlineStr"/>
      <c r="I987" t="inlineStr">
        <is>
          <t>H49</t>
        </is>
      </c>
      <c r="J987" s="3" t="n">
        <v>1</v>
      </c>
      <c r="K987" t="inlineStr">
        <is>
          <t>육상 운송 및 파이프라인 운송업</t>
        </is>
      </c>
      <c r="L987" t="inlineStr">
        <is>
          <t>1</t>
        </is>
      </c>
      <c r="M987" s="3" t="n">
        <v>0.595</v>
      </c>
      <c r="N987" t="inlineStr">
        <is>
          <t>긍정</t>
        </is>
      </c>
    </row>
    <row r="988">
      <c r="A988" s="1" t="inlineStr">
        <is>
          <t>2021-05-20</t>
        </is>
      </c>
      <c r="B988" t="inlineStr">
        <is>
          <t>news</t>
        </is>
      </c>
      <c r="C988" t="inlineStr">
        <is>
          <t>economy</t>
        </is>
      </c>
      <c r="D988" t="inlineStr">
        <is>
          <t>이데일리</t>
        </is>
      </c>
      <c r="E988" t="inlineStr">
        <is>
          <t>경계영</t>
        </is>
      </c>
      <c r="F988" t="inlineStr">
        <is>
          <t>중국 제외한 전기차 2대 중 1대는 'K-배터리'…1위는 LG엔솔</t>
        </is>
      </c>
      <c r="G988" s="2">
        <f>HYPERLINK("http://www.edaily.co.kr/news/newspath.asp?newsid=01722006629050888", "Go to Website")</f>
        <v/>
      </c>
      <c r="H988" t="inlineStr"/>
      <c r="I988" t="inlineStr">
        <is>
          <t>C20</t>
        </is>
      </c>
      <c r="J988" s="3" t="n">
        <v>0.51</v>
      </c>
      <c r="K988" t="inlineStr">
        <is>
          <t>화학 물질 및 화학제품 제조업; 의약품 제외</t>
        </is>
      </c>
      <c r="L988" t="inlineStr"/>
      <c r="M988" t="inlineStr"/>
      <c r="N988" t="inlineStr"/>
    </row>
    <row r="989">
      <c r="A989" s="1" t="inlineStr">
        <is>
          <t>2021-05-20</t>
        </is>
      </c>
      <c r="B989" t="inlineStr">
        <is>
          <t>news</t>
        </is>
      </c>
      <c r="C989" t="inlineStr">
        <is>
          <t>economy</t>
        </is>
      </c>
      <c r="D989" t="inlineStr">
        <is>
          <t>연합뉴스</t>
        </is>
      </c>
      <c r="E989" t="inlineStr">
        <is>
          <t>장하나</t>
        </is>
      </c>
      <c r="F989" t="inlineStr">
        <is>
          <t>현대차·기아, 지난달 유럽에서 작년보다 4배 팔았다</t>
        </is>
      </c>
      <c r="G989" s="2">
        <f>HYPERLINK("http://yna.kr/AKR20210520041000003?did=1195m", "Go to Website")</f>
        <v/>
      </c>
      <c r="H989" t="inlineStr"/>
      <c r="I989" t="inlineStr">
        <is>
          <t>H52</t>
        </is>
      </c>
      <c r="J989" s="3" t="n">
        <v>0.764</v>
      </c>
      <c r="K989" t="inlineStr">
        <is>
          <t>창고 및 운송관련 서비스업</t>
        </is>
      </c>
      <c r="L989" t="inlineStr"/>
      <c r="M989" t="inlineStr"/>
      <c r="N989" t="inlineStr"/>
    </row>
    <row r="990">
      <c r="A990" s="1" t="inlineStr">
        <is>
          <t>2021-05-20</t>
        </is>
      </c>
      <c r="B990" t="inlineStr">
        <is>
          <t>news</t>
        </is>
      </c>
      <c r="C990" t="inlineStr">
        <is>
          <t>economy</t>
        </is>
      </c>
      <c r="D990" t="inlineStr">
        <is>
          <t>서울경제</t>
        </is>
      </c>
      <c r="E990" t="inlineStr">
        <is>
          <t>양지윤</t>
        </is>
      </c>
      <c r="F990" t="inlineStr">
        <is>
          <t>대우건설 김형 사장, 어린이 교통안전 릴레이 챌린지 참여</t>
        </is>
      </c>
      <c r="G990" s="2">
        <f>HYPERLINK("https://www.sedaily.com/NewsView/22MFLXOG8S", "Go to Website")</f>
        <v/>
      </c>
      <c r="H990" t="inlineStr"/>
      <c r="I990" t="inlineStr">
        <is>
          <t>F41</t>
        </is>
      </c>
      <c r="J990" s="3" t="n">
        <v>1</v>
      </c>
      <c r="K990" t="inlineStr">
        <is>
          <t>종합 건설업</t>
        </is>
      </c>
      <c r="L990" t="inlineStr">
        <is>
          <t>0</t>
        </is>
      </c>
      <c r="M990" s="3" t="n">
        <v>0.999</v>
      </c>
      <c r="N990" t="inlineStr">
        <is>
          <t>중립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2021-05-24T02:58:41Z</dcterms:created>
  <dcterms:modified xsi:type="dcterms:W3CDTF">2021-05-24T02:58:41Z</dcterms:modified>
</cp:coreProperties>
</file>