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#01 Input" sheetId="1" state="visible" r:id="rId1"/>
    <sheet name="#02 Documen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MM"/>
  </numFmts>
  <fonts count="3">
    <font>
      <name val="Calibri"/>
      <family val="2"/>
      <color theme="1"/>
      <sz val="11"/>
      <scheme val="minor"/>
    </font>
    <font/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165" fontId="1" fillId="0" borderId="1"/>
    <xf numFmtId="0" fontId="2" fillId="0" borderId="0"/>
  </cellStyleXfs>
  <cellXfs count="4">
    <xf numFmtId="0" fontId="0" fillId="0" borderId="0" pivotButton="0" quotePrefix="0" xfId="0"/>
    <xf numFmtId="165" fontId="1" fillId="0" borderId="1" pivotButton="0" quotePrefix="0" xfId="1"/>
    <xf numFmtId="0" fontId="2" fillId="0" borderId="0" pivotButton="0" quotePrefix="0" xfId="2"/>
    <xf numFmtId="4" fontId="0" fillId="0" borderId="0" pivotButton="0" quotePrefix="0" xfId="0"/>
  </cellXfs>
  <cellStyles count="3">
    <cellStyle name="Normal" xfId="0" builtinId="0" hidden="0"/>
    <cellStyle name="datetime" xfId="1" hidden="0"/>
    <cellStyle name="Hyperlink" xfId="2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_556af7c6bca011eb90c356152c17556c" displayName="Table_556af7c6bca011eb90c356152c17556c" ref="A1:N627" headerRowCount="1">
  <autoFilter ref="A1:N627"/>
  <tableColumns count="14">
    <tableColumn id="1" name="date"/>
    <tableColumn id="2" name="category"/>
    <tableColumn id="3" name="section"/>
    <tableColumn id="4" name="publisher"/>
    <tableColumn id="5" name="author"/>
    <tableColumn id="6" name="title"/>
    <tableColumn id="7" name="content_url"/>
    <tableColumn id="8" name="attachment"/>
    <tableColumn id="9" name="industry.label"/>
    <tableColumn id="10" name="industry.score"/>
    <tableColumn id="11" name="industry.name"/>
    <tableColumn id="12" name="polarity.label"/>
    <tableColumn id="13" name="polarity.score"/>
    <tableColumn id="14" name="polarity.nam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7" customWidth="1" min="1" max="1"/>
    <col width="348" customWidth="1" min="2" max="2"/>
  </cols>
  <sheetData>
    <row r="1">
      <c r="A1" t="inlineStr">
        <is>
          <t>Interpretation</t>
        </is>
      </c>
      <c r="B1" t="inlineStr">
        <is>
          <t>DocumentSearch(["news"], ["economy", "tech"], "수소차", date_from=2021-04-24, date_to=2021-05-24, page="all", count=10)</t>
        </is>
      </c>
    </row>
    <row r="2">
      <c r="A2" t="inlineStr">
        <is>
          <t>Interpretation (Detailed)</t>
        </is>
      </c>
      <c r="B2" t="inlineStr">
        <is>
          <t>&lt;Function&gt;DocumentSearch&lt;/Function&gt;([&lt;String&gt;"news"&lt;/String&gt;], [&lt;String&gt;"economy"&lt;/String&gt;, &lt;String&gt;"tech"&lt;/String&gt;], &lt;String&gt;"수소차"&lt;/String&gt;, &lt;Keyword&gt;date_from&lt;/Keyword&gt;=&lt;Date&gt;2021-04-24&lt;/Date&gt;, &lt;Keyword&gt;date_to&lt;/Keyword&gt;=&lt;Date&gt;2021-05-24&lt;/Date&gt;, &lt;Keyword&gt;page&lt;/Keyword&gt;=&lt;String&gt;"all"&lt;/String&gt;, &lt;Keyword&gt;count&lt;/Keyword&gt;=&lt;Integer&gt;10&lt;/Integer&gt;)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27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9" customWidth="1" min="3" max="3"/>
    <col width="14" customWidth="1" min="4" max="4"/>
    <col width="10" customWidth="1" min="5" max="5"/>
    <col width="103" customWidth="1" min="6" max="6"/>
    <col width="132" customWidth="1" min="7" max="7"/>
    <col width="12" customWidth="1" min="8" max="8"/>
    <col width="16" customWidth="1" min="9" max="9"/>
    <col width="16" customWidth="1" min="10" max="10"/>
    <col width="50" customWidth="1" min="11" max="11"/>
    <col width="16" customWidth="1" min="12" max="12"/>
    <col width="16" customWidth="1" min="13" max="13"/>
    <col width="15" customWidth="1" min="14" max="14"/>
  </cols>
  <sheetData>
    <row r="1">
      <c r="A1" t="inlineStr">
        <is>
          <t>date</t>
        </is>
      </c>
      <c r="B1" t="inlineStr">
        <is>
          <t>category</t>
        </is>
      </c>
      <c r="C1" t="inlineStr">
        <is>
          <t>section</t>
        </is>
      </c>
      <c r="D1" t="inlineStr">
        <is>
          <t>publisher</t>
        </is>
      </c>
      <c r="E1" t="inlineStr">
        <is>
          <t>author</t>
        </is>
      </c>
      <c r="F1" t="inlineStr">
        <is>
          <t>title</t>
        </is>
      </c>
      <c r="G1" t="inlineStr">
        <is>
          <t>content_url</t>
        </is>
      </c>
      <c r="H1" t="inlineStr">
        <is>
          <t>attachment</t>
        </is>
      </c>
      <c r="I1" t="inlineStr">
        <is>
          <t>industry.label</t>
        </is>
      </c>
      <c r="J1" t="inlineStr">
        <is>
          <t>industry.score</t>
        </is>
      </c>
      <c r="K1" t="inlineStr">
        <is>
          <t>industry.name</t>
        </is>
      </c>
      <c r="L1" t="inlineStr">
        <is>
          <t>polarity.label</t>
        </is>
      </c>
      <c r="M1" t="inlineStr">
        <is>
          <t>polarity.score</t>
        </is>
      </c>
      <c r="N1" t="inlineStr">
        <is>
          <t>polarity.name</t>
        </is>
      </c>
    </row>
    <row r="2">
      <c r="A2" s="1" t="inlineStr">
        <is>
          <t>2021-05-24</t>
        </is>
      </c>
      <c r="B2" t="inlineStr">
        <is>
          <t>news</t>
        </is>
      </c>
      <c r="C2" t="inlineStr">
        <is>
          <t>economy</t>
        </is>
      </c>
      <c r="D2" t="inlineStr">
        <is>
          <t>YTN</t>
        </is>
      </c>
      <c r="E2" t="inlineStr"/>
      <c r="F2" t="inlineStr">
        <is>
          <t>정의선 회장 "내년 대도시 청소차, 수소차로 교체"</t>
        </is>
      </c>
      <c r="G2" s="2">
        <f>HYPERLINK("https://www.ytn.co.kr/_ln/0102_202105242328254783", "Go to Website")</f>
        <v/>
      </c>
      <c r="H2" t="inlineStr"/>
      <c r="I2" t="inlineStr">
        <is>
          <t>H49</t>
        </is>
      </c>
      <c r="J2" s="3" t="n">
        <v>0.577</v>
      </c>
      <c r="K2" t="inlineStr">
        <is>
          <t>육상 운송 및 파이프라인 운송업</t>
        </is>
      </c>
      <c r="L2" t="inlineStr">
        <is>
          <t>0</t>
        </is>
      </c>
      <c r="M2" s="3" t="n">
        <v>0.988</v>
      </c>
      <c r="N2" t="inlineStr">
        <is>
          <t>중립</t>
        </is>
      </c>
    </row>
    <row r="3">
      <c r="A3" s="1" t="inlineStr">
        <is>
          <t>2021-05-24</t>
        </is>
      </c>
      <c r="B3" t="inlineStr">
        <is>
          <t>news</t>
        </is>
      </c>
      <c r="C3" t="inlineStr">
        <is>
          <t>economy</t>
        </is>
      </c>
      <c r="D3" t="inlineStr">
        <is>
          <t>동아일보</t>
        </is>
      </c>
      <c r="E3" t="inlineStr">
        <is>
          <t>서형석</t>
        </is>
      </c>
      <c r="F3" t="inlineStr">
        <is>
          <t>정의선 “자동차 생산·운행·폐기 모든 단계 탄소중립 추진”</t>
        </is>
      </c>
      <c r="G3" s="2">
        <f>HYPERLINK("https://www.donga.com/news/article/all/20210524/107093234/1", "Go to Website")</f>
        <v/>
      </c>
      <c r="H3" t="inlineStr"/>
      <c r="I3" t="inlineStr">
        <is>
          <t>C30</t>
        </is>
      </c>
      <c r="J3" s="3" t="n">
        <v>0.997</v>
      </c>
      <c r="K3" t="inlineStr">
        <is>
          <t>자동차 및 트레일러 제조업</t>
        </is>
      </c>
      <c r="L3" t="inlineStr"/>
      <c r="M3" t="inlineStr"/>
      <c r="N3" t="inlineStr"/>
    </row>
    <row r="4">
      <c r="A4" s="1" t="inlineStr">
        <is>
          <t>2021-05-24</t>
        </is>
      </c>
      <c r="B4" t="inlineStr">
        <is>
          <t>news</t>
        </is>
      </c>
      <c r="C4" t="inlineStr">
        <is>
          <t>economy</t>
        </is>
      </c>
      <c r="D4" t="inlineStr">
        <is>
          <t>한국일보</t>
        </is>
      </c>
      <c r="E4" t="inlineStr">
        <is>
          <t>김기중</t>
        </is>
      </c>
      <c r="F4" t="inlineStr">
        <is>
          <t>정의선 회장 "자동차 생산부터 운행, 폐기까지 탄소중립 추진"</t>
        </is>
      </c>
      <c r="G4" s="2">
        <f>HYPERLINK("https://hankookilbo.com/News/Read/A2021052422480000516?did=NA", "Go to Website")</f>
        <v/>
      </c>
      <c r="H4" t="inlineStr"/>
      <c r="I4" t="inlineStr">
        <is>
          <t>C30</t>
        </is>
      </c>
      <c r="J4" s="3" t="n">
        <v>0.994</v>
      </c>
      <c r="K4" t="inlineStr">
        <is>
          <t>자동차 및 트레일러 제조업</t>
        </is>
      </c>
      <c r="L4" t="inlineStr"/>
      <c r="M4" t="inlineStr"/>
      <c r="N4" t="inlineStr"/>
    </row>
    <row r="5">
      <c r="A5" s="1" t="inlineStr">
        <is>
          <t>2021-05-24</t>
        </is>
      </c>
      <c r="B5" t="inlineStr">
        <is>
          <t>news</t>
        </is>
      </c>
      <c r="C5" t="inlineStr">
        <is>
          <t>economy</t>
        </is>
      </c>
      <c r="D5" t="inlineStr">
        <is>
          <t>연합뉴스</t>
        </is>
      </c>
      <c r="E5" t="inlineStr">
        <is>
          <t>장하나</t>
        </is>
      </c>
      <c r="F5" t="inlineStr">
        <is>
          <t>정의선 "자동차 생산·운행·폐기 全 단계에서 탄소중립 추진"</t>
        </is>
      </c>
      <c r="G5" s="2">
        <f>HYPERLINK("http://yna.kr/AKR20210524157000003?did=1195m", "Go to Website")</f>
        <v/>
      </c>
      <c r="H5" t="inlineStr"/>
      <c r="I5" t="inlineStr">
        <is>
          <t>C30</t>
        </is>
      </c>
      <c r="J5" s="3" t="n">
        <v>0.996</v>
      </c>
      <c r="K5" t="inlineStr">
        <is>
          <t>자동차 및 트레일러 제조업</t>
        </is>
      </c>
      <c r="L5" t="inlineStr"/>
      <c r="M5" t="inlineStr"/>
      <c r="N5" t="inlineStr"/>
    </row>
    <row r="6">
      <c r="A6" s="1" t="inlineStr">
        <is>
          <t>2021-05-24</t>
        </is>
      </c>
      <c r="B6" t="inlineStr">
        <is>
          <t>news</t>
        </is>
      </c>
      <c r="C6" t="inlineStr">
        <is>
          <t>economy</t>
        </is>
      </c>
      <c r="D6" t="inlineStr">
        <is>
          <t>이데일리</t>
        </is>
      </c>
      <c r="E6" t="inlineStr">
        <is>
          <t>이승현</t>
        </is>
      </c>
      <c r="F6" t="inlineStr">
        <is>
          <t>정의선 "내년부터 한국 주요도시 청소차, 수소트럭으로 운영"</t>
        </is>
      </c>
      <c r="G6" s="2">
        <f>HYPERLINK("http://www.edaily.co.kr/news/newspath.asp?newsid=03860566629052200", "Go to Website")</f>
        <v/>
      </c>
      <c r="H6" t="inlineStr"/>
      <c r="I6" t="inlineStr">
        <is>
          <t>100</t>
        </is>
      </c>
      <c r="J6" s="3" t="n">
        <v>0.836</v>
      </c>
      <c r="K6" t="inlineStr">
        <is>
          <t>분류 제외, 기타</t>
        </is>
      </c>
      <c r="L6" t="inlineStr">
        <is>
          <t>0</t>
        </is>
      </c>
      <c r="M6" s="3" t="n">
        <v>0.989</v>
      </c>
      <c r="N6" t="inlineStr">
        <is>
          <t>중립</t>
        </is>
      </c>
    </row>
    <row r="7">
      <c r="A7" s="1" t="inlineStr">
        <is>
          <t>2021-05-24</t>
        </is>
      </c>
      <c r="B7" t="inlineStr">
        <is>
          <t>news</t>
        </is>
      </c>
      <c r="C7" t="inlineStr">
        <is>
          <t>economy</t>
        </is>
      </c>
      <c r="D7" t="inlineStr">
        <is>
          <t>한국경제</t>
        </is>
      </c>
      <c r="E7" t="inlineStr">
        <is>
          <t>김일규</t>
        </is>
      </c>
      <c r="F7" t="inlineStr">
        <is>
          <t>정의선 "車 생산·운행·폐기 全과정 탄소중립"</t>
        </is>
      </c>
      <c r="G7" s="2">
        <f>HYPERLINK("https://www.hankyung.com/economy/article/2021052445141", "Go to Website")</f>
        <v/>
      </c>
      <c r="H7" t="inlineStr"/>
      <c r="I7" t="inlineStr">
        <is>
          <t>C30</t>
        </is>
      </c>
      <c r="J7" s="3" t="n">
        <v>0.512</v>
      </c>
      <c r="K7" t="inlineStr">
        <is>
          <t>자동차 및 트레일러 제조업</t>
        </is>
      </c>
      <c r="L7" t="inlineStr">
        <is>
          <t>0</t>
        </is>
      </c>
      <c r="M7" s="3" t="n">
        <v>0.996</v>
      </c>
      <c r="N7" t="inlineStr">
        <is>
          <t>중립</t>
        </is>
      </c>
    </row>
    <row r="8">
      <c r="A8" s="1" t="inlineStr">
        <is>
          <t>2021-05-24</t>
        </is>
      </c>
      <c r="B8" t="inlineStr">
        <is>
          <t>news</t>
        </is>
      </c>
      <c r="C8" t="inlineStr">
        <is>
          <t>economy</t>
        </is>
      </c>
      <c r="D8" t="inlineStr">
        <is>
          <t>아시아경제</t>
        </is>
      </c>
      <c r="E8" t="inlineStr">
        <is>
          <t>이창환</t>
        </is>
      </c>
      <c r="F8" t="inlineStr">
        <is>
          <t>정의선 회장 "차량 전동화로 탄소 중립 추진할 것"</t>
        </is>
      </c>
      <c r="G8" s="2">
        <f>HYPERLINK("https://view.asiae.co.kr/article/2021052421480318761", "Go to Website")</f>
        <v/>
      </c>
      <c r="H8" t="inlineStr"/>
      <c r="I8" t="inlineStr">
        <is>
          <t>C31</t>
        </is>
      </c>
      <c r="J8" s="3" t="n">
        <v>0.753</v>
      </c>
      <c r="K8" t="inlineStr">
        <is>
          <t>기타 운송장비 제조업</t>
        </is>
      </c>
      <c r="L8" t="inlineStr"/>
      <c r="M8" t="inlineStr"/>
      <c r="N8" t="inlineStr"/>
    </row>
    <row r="9">
      <c r="A9" s="1" t="inlineStr">
        <is>
          <t>2021-05-24</t>
        </is>
      </c>
      <c r="B9" t="inlineStr">
        <is>
          <t>news</t>
        </is>
      </c>
      <c r="C9" t="inlineStr">
        <is>
          <t>economy</t>
        </is>
      </c>
      <c r="D9" t="inlineStr">
        <is>
          <t>서울경제</t>
        </is>
      </c>
      <c r="E9" t="inlineStr">
        <is>
          <t>조지원</t>
        </is>
      </c>
      <c r="F9" t="inlineStr">
        <is>
          <t>정의선 현대차 회장 "수소 모빌리티로 탄소중립 앞장설 것"</t>
        </is>
      </c>
      <c r="G9" s="2">
        <f>HYPERLINK("https://www.sedaily.com/NewsView/22MHINM86G", "Go to Website")</f>
        <v/>
      </c>
      <c r="H9" t="inlineStr"/>
      <c r="I9" t="inlineStr">
        <is>
          <t>C30</t>
        </is>
      </c>
      <c r="J9" s="3" t="n">
        <v>0.984</v>
      </c>
      <c r="K9" t="inlineStr">
        <is>
          <t>자동차 및 트레일러 제조업</t>
        </is>
      </c>
      <c r="L9" t="inlineStr">
        <is>
          <t>0</t>
        </is>
      </c>
      <c r="M9" s="3" t="n">
        <v>0.953</v>
      </c>
      <c r="N9" t="inlineStr">
        <is>
          <t>중립</t>
        </is>
      </c>
    </row>
    <row r="10">
      <c r="A10" s="1" t="inlineStr">
        <is>
          <t>2021-05-24</t>
        </is>
      </c>
      <c r="B10" t="inlineStr">
        <is>
          <t>news</t>
        </is>
      </c>
      <c r="C10" t="inlineStr">
        <is>
          <t>economy</t>
        </is>
      </c>
      <c r="D10" t="inlineStr">
        <is>
          <t>국민일보</t>
        </is>
      </c>
      <c r="E10" t="inlineStr">
        <is>
          <t>박구인</t>
        </is>
      </c>
      <c r="F10" t="inlineStr">
        <is>
          <t>정의선 만난 이재명 “공정한 기업환경 조성 도울 것”</t>
        </is>
      </c>
      <c r="G10" s="2">
        <f>HYPERLINK("http://news.kmib.co.kr/article/view.asp?arcid=0015877277&amp;code=61141111", "Go to Website")</f>
        <v/>
      </c>
      <c r="H10" t="inlineStr"/>
      <c r="I10" t="inlineStr">
        <is>
          <t>C30</t>
        </is>
      </c>
      <c r="J10" s="3" t="n">
        <v>0.996</v>
      </c>
      <c r="K10" t="inlineStr">
        <is>
          <t>자동차 및 트레일러 제조업</t>
        </is>
      </c>
      <c r="L10" t="inlineStr">
        <is>
          <t>0</t>
        </is>
      </c>
      <c r="M10" s="3" t="n">
        <v>0.987</v>
      </c>
      <c r="N10" t="inlineStr">
        <is>
          <t>중립</t>
        </is>
      </c>
    </row>
    <row r="11">
      <c r="A11" s="1" t="inlineStr">
        <is>
          <t>2021-05-24</t>
        </is>
      </c>
      <c r="B11" t="inlineStr">
        <is>
          <t>news</t>
        </is>
      </c>
      <c r="C11" t="inlineStr">
        <is>
          <t>economy</t>
        </is>
      </c>
      <c r="D11" t="inlineStr">
        <is>
          <t>디지털타임스</t>
        </is>
      </c>
      <c r="E11" t="inlineStr">
        <is>
          <t>김병탁</t>
        </is>
      </c>
      <c r="F11" t="inlineStr">
        <is>
          <t>한투운용 "친환경차·ESG 투자 활성화"</t>
        </is>
      </c>
      <c r="G11" s="2">
        <f>HYPERLINK("http://www.dt.co.kr/contents.html?article_no=2021052502100963040002", "Go to Website")</f>
        <v/>
      </c>
      <c r="H11" t="inlineStr"/>
      <c r="I11" t="inlineStr">
        <is>
          <t>K64</t>
        </is>
      </c>
      <c r="J11" s="3" t="n">
        <v>0.999</v>
      </c>
      <c r="K11" t="inlineStr">
        <is>
          <t>금융업</t>
        </is>
      </c>
      <c r="L11" t="inlineStr">
        <is>
          <t>0</t>
        </is>
      </c>
      <c r="M11" s="3" t="n">
        <v>0.849</v>
      </c>
      <c r="N11" t="inlineStr">
        <is>
          <t>중립</t>
        </is>
      </c>
    </row>
    <row r="12">
      <c r="A12" s="1" t="inlineStr">
        <is>
          <t>2021-05-24</t>
        </is>
      </c>
      <c r="B12" t="inlineStr">
        <is>
          <t>news</t>
        </is>
      </c>
      <c r="C12" t="inlineStr">
        <is>
          <t>economy</t>
        </is>
      </c>
      <c r="D12" t="inlineStr">
        <is>
          <t>한국경제</t>
        </is>
      </c>
      <c r="E12" t="inlineStr">
        <is>
          <t>구은서</t>
        </is>
      </c>
      <c r="F12" t="inlineStr">
        <is>
          <t>액티브 ETF 시대 본격 개막…ESG·미래차 등 8종목 25일 상장</t>
        </is>
      </c>
      <c r="G12" s="2">
        <f>HYPERLINK("https://www.hankyung.com/finance/article/2021052438561", "Go to Website")</f>
        <v/>
      </c>
      <c r="H12" t="inlineStr"/>
      <c r="I12" t="inlineStr">
        <is>
          <t>K64</t>
        </is>
      </c>
      <c r="J12" s="3" t="n">
        <v>0.999</v>
      </c>
      <c r="K12" t="inlineStr">
        <is>
          <t>금융업</t>
        </is>
      </c>
      <c r="L12" t="inlineStr">
        <is>
          <t>0</t>
        </is>
      </c>
      <c r="M12" s="3" t="n">
        <v>0.756</v>
      </c>
      <c r="N12" t="inlineStr">
        <is>
          <t>중립</t>
        </is>
      </c>
    </row>
    <row r="13">
      <c r="A13" s="1" t="inlineStr">
        <is>
          <t>2021-05-24</t>
        </is>
      </c>
      <c r="B13" t="inlineStr">
        <is>
          <t>news</t>
        </is>
      </c>
      <c r="C13" t="inlineStr">
        <is>
          <t>economy</t>
        </is>
      </c>
      <c r="D13" t="inlineStr">
        <is>
          <t>서울경제</t>
        </is>
      </c>
      <c r="E13" t="inlineStr">
        <is>
          <t>이경운</t>
        </is>
      </c>
      <c r="F13" t="inlineStr">
        <is>
          <t>K배터리 "파나소닉 넘어 1위"...현대차, 테슬라 추격전 시동 [한미정상회담 이후]</t>
        </is>
      </c>
      <c r="G13" s="2">
        <f>HYPERLINK("https://www.sedaily.com/NewsView/22MHHCVEEA", "Go to Website")</f>
        <v/>
      </c>
      <c r="H13" t="inlineStr"/>
      <c r="I13" t="inlineStr">
        <is>
          <t>C26</t>
        </is>
      </c>
      <c r="J13" s="3" t="n">
        <v>0.96</v>
      </c>
      <c r="K13" t="inlineStr">
        <is>
          <t>전자 부품, 컴퓨터, 영상, 음향 및 통신장비 제조업</t>
        </is>
      </c>
      <c r="L13" t="inlineStr">
        <is>
          <t>1</t>
        </is>
      </c>
      <c r="M13" s="3" t="n">
        <v>0.767</v>
      </c>
      <c r="N13" t="inlineStr">
        <is>
          <t>긍정</t>
        </is>
      </c>
    </row>
    <row r="14">
      <c r="A14" s="1" t="inlineStr">
        <is>
          <t>2021-05-24</t>
        </is>
      </c>
      <c r="B14" t="inlineStr">
        <is>
          <t>news</t>
        </is>
      </c>
      <c r="C14" t="inlineStr">
        <is>
          <t>economy</t>
        </is>
      </c>
      <c r="D14" t="inlineStr">
        <is>
          <t>한국경제</t>
        </is>
      </c>
      <c r="E14" t="inlineStr">
        <is>
          <t>안재광</t>
        </is>
      </c>
      <c r="F14" t="inlineStr">
        <is>
          <t>"머스크는 틀렸다…배터리만으론 화석연료 대체 불가"</t>
        </is>
      </c>
      <c r="G14" s="2">
        <f>HYPERLINK("https://www.hankyung.com/economy/article/2021052440411", "Go to Website")</f>
        <v/>
      </c>
      <c r="H14" t="inlineStr"/>
      <c r="I14" t="inlineStr">
        <is>
          <t>100</t>
        </is>
      </c>
      <c r="J14" s="3" t="n">
        <v>0.995</v>
      </c>
      <c r="K14" t="inlineStr">
        <is>
          <t>분류 제외, 기타</t>
        </is>
      </c>
      <c r="L14" t="inlineStr">
        <is>
          <t>0</t>
        </is>
      </c>
      <c r="M14" s="3" t="n">
        <v>0.769</v>
      </c>
      <c r="N14" t="inlineStr">
        <is>
          <t>중립</t>
        </is>
      </c>
    </row>
    <row r="15">
      <c r="A15" s="1" t="inlineStr">
        <is>
          <t>2021-05-24</t>
        </is>
      </c>
      <c r="B15" t="inlineStr">
        <is>
          <t>news</t>
        </is>
      </c>
      <c r="C15" t="inlineStr">
        <is>
          <t>economy</t>
        </is>
      </c>
      <c r="D15" t="inlineStr">
        <is>
          <t>한국경제</t>
        </is>
      </c>
      <c r="E15" t="inlineStr">
        <is>
          <t>강경민</t>
        </is>
      </c>
      <c r="F15" t="inlineStr">
        <is>
          <t>"효성과 함께 한국 전역에 수소 충전소 120개 구축"</t>
        </is>
      </c>
      <c r="G15" s="2">
        <f>HYPERLINK("https://www.hankyung.com/economy/article/2021052440401", "Go to Website")</f>
        <v/>
      </c>
      <c r="H15" t="inlineStr"/>
      <c r="I15" t="inlineStr">
        <is>
          <t>C20</t>
        </is>
      </c>
      <c r="J15" s="3" t="n">
        <v>0.756</v>
      </c>
      <c r="K15" t="inlineStr">
        <is>
          <t>화학 물질 및 화학제품 제조업; 의약품 제외</t>
        </is>
      </c>
      <c r="L15" t="inlineStr">
        <is>
          <t>0</t>
        </is>
      </c>
      <c r="M15" s="3" t="n">
        <v>0.623</v>
      </c>
      <c r="N15" t="inlineStr">
        <is>
          <t>중립</t>
        </is>
      </c>
    </row>
    <row r="16">
      <c r="A16" s="1" t="inlineStr">
        <is>
          <t>2021-05-24</t>
        </is>
      </c>
      <c r="B16" t="inlineStr">
        <is>
          <t>news</t>
        </is>
      </c>
      <c r="C16" t="inlineStr">
        <is>
          <t>economy</t>
        </is>
      </c>
      <c r="D16" t="inlineStr">
        <is>
          <t>매일경제</t>
        </is>
      </c>
      <c r="E16" t="inlineStr">
        <is>
          <t>김정범</t>
        </is>
      </c>
      <c r="F16" t="inlineStr">
        <is>
          <t>액티브ETF 경쟁 치열…25일 주식형 8종 상장</t>
        </is>
      </c>
      <c r="G16" s="2">
        <f>HYPERLINK("http://news.mk.co.kr/newsRead.php?no=499416&amp;year=2021", "Go to Website")</f>
        <v/>
      </c>
      <c r="H16" t="inlineStr"/>
      <c r="I16" t="inlineStr">
        <is>
          <t>K64</t>
        </is>
      </c>
      <c r="J16" s="3" t="n">
        <v>0.999</v>
      </c>
      <c r="K16" t="inlineStr">
        <is>
          <t>금융업</t>
        </is>
      </c>
      <c r="L16" t="inlineStr"/>
      <c r="M16" t="inlineStr"/>
      <c r="N16" t="inlineStr"/>
    </row>
    <row r="17">
      <c r="A17" s="1" t="inlineStr">
        <is>
          <t>2021-05-24</t>
        </is>
      </c>
      <c r="B17" t="inlineStr">
        <is>
          <t>news</t>
        </is>
      </c>
      <c r="C17" t="inlineStr">
        <is>
          <t>economy</t>
        </is>
      </c>
      <c r="D17" t="inlineStr">
        <is>
          <t>머니S</t>
        </is>
      </c>
      <c r="E17" t="inlineStr">
        <is>
          <t>안서진</t>
        </is>
      </c>
      <c r="F17" t="inlineStr">
        <is>
          <t>'부릉부릉' 주식형 액티브 ETF 시동 거는 한투운용… 車·ESG 공략</t>
        </is>
      </c>
      <c r="G17" s="2">
        <f>HYPERLINK("http://moneys.mt.co.kr/news/mwView.php?no=2021052416418088163", "Go to Website")</f>
        <v/>
      </c>
      <c r="H17" t="inlineStr"/>
      <c r="I17" t="inlineStr">
        <is>
          <t>K64</t>
        </is>
      </c>
      <c r="J17" s="3" t="n">
        <v>1</v>
      </c>
      <c r="K17" t="inlineStr">
        <is>
          <t>금융업</t>
        </is>
      </c>
      <c r="L17" t="inlineStr"/>
      <c r="M17" t="inlineStr"/>
      <c r="N17" t="inlineStr"/>
    </row>
    <row r="18">
      <c r="A18" s="1" t="inlineStr">
        <is>
          <t>2021-05-24</t>
        </is>
      </c>
      <c r="B18" t="inlineStr">
        <is>
          <t>news</t>
        </is>
      </c>
      <c r="C18" t="inlineStr">
        <is>
          <t>economy</t>
        </is>
      </c>
      <c r="D18" t="inlineStr">
        <is>
          <t>머니투데이</t>
        </is>
      </c>
      <c r="E18" t="inlineStr">
        <is>
          <t>주명호</t>
        </is>
      </c>
      <c r="F18" t="inlineStr">
        <is>
          <t>전기차 전환·美투자에 반발…난항 예고된 올해 현대차 임단협</t>
        </is>
      </c>
      <c r="G18" s="2">
        <f>HYPERLINK("http://news.mt.co.kr/mtview.php?no=2021052416215789784", "Go to Website")</f>
        <v/>
      </c>
      <c r="H18" t="inlineStr"/>
      <c r="I18" t="inlineStr">
        <is>
          <t>C30</t>
        </is>
      </c>
      <c r="J18" s="3" t="n">
        <v>1</v>
      </c>
      <c r="K18" t="inlineStr">
        <is>
          <t>자동차 및 트레일러 제조업</t>
        </is>
      </c>
      <c r="L18" t="inlineStr">
        <is>
          <t>-1</t>
        </is>
      </c>
      <c r="M18" s="3" t="n">
        <v>0.983</v>
      </c>
      <c r="N18" t="inlineStr">
        <is>
          <t>부정</t>
        </is>
      </c>
    </row>
    <row r="19">
      <c r="A19" s="1" t="inlineStr">
        <is>
          <t>2021-05-24</t>
        </is>
      </c>
      <c r="B19" t="inlineStr">
        <is>
          <t>news</t>
        </is>
      </c>
      <c r="C19" t="inlineStr">
        <is>
          <t>economy</t>
        </is>
      </c>
      <c r="D19" t="inlineStr">
        <is>
          <t>디지털타임스</t>
        </is>
      </c>
      <c r="E19" t="inlineStr"/>
      <c r="F19" t="inlineStr">
        <is>
          <t>이재명 "저성장으로 불공정 분노 커져…공정한 기업경쟁 환경 조성"</t>
        </is>
      </c>
      <c r="G19" s="2">
        <f>HYPERLINK("http://www.dt.co.kr/contents.html?article_no=2021052402109958063004", "Go to Website")</f>
        <v/>
      </c>
      <c r="H19" t="inlineStr"/>
      <c r="I19" t="inlineStr">
        <is>
          <t>C30</t>
        </is>
      </c>
      <c r="J19" s="3" t="n">
        <v>0.999</v>
      </c>
      <c r="K19" t="inlineStr">
        <is>
          <t>자동차 및 트레일러 제조업</t>
        </is>
      </c>
      <c r="L19" t="inlineStr"/>
      <c r="M19" t="inlineStr"/>
      <c r="N19" t="inlineStr"/>
    </row>
    <row r="20">
      <c r="A20" s="1" t="inlineStr">
        <is>
          <t>2021-05-24</t>
        </is>
      </c>
      <c r="B20" t="inlineStr">
        <is>
          <t>news</t>
        </is>
      </c>
      <c r="C20" t="inlineStr">
        <is>
          <t>economy</t>
        </is>
      </c>
      <c r="D20" t="inlineStr">
        <is>
          <t>이데일리</t>
        </is>
      </c>
      <c r="E20" t="inlineStr">
        <is>
          <t>이은정</t>
        </is>
      </c>
      <c r="F20" t="inlineStr">
        <is>
          <t>'네비게이터' 꺼내든 한국투신운용…액티브 ETF 선점 드라이브</t>
        </is>
      </c>
      <c r="G20" s="2">
        <f>HYPERLINK("http://www.edaily.co.kr/news/newspath.asp?newsid=03348886629052200", "Go to Website")</f>
        <v/>
      </c>
      <c r="H20" t="inlineStr"/>
      <c r="I20" t="inlineStr">
        <is>
          <t>K64</t>
        </is>
      </c>
      <c r="J20" s="3" t="n">
        <v>0.999</v>
      </c>
      <c r="K20" t="inlineStr">
        <is>
          <t>금융업</t>
        </is>
      </c>
      <c r="L20" t="inlineStr">
        <is>
          <t>0</t>
        </is>
      </c>
      <c r="M20" s="3" t="n">
        <v>0.975</v>
      </c>
      <c r="N20" t="inlineStr">
        <is>
          <t>중립</t>
        </is>
      </c>
    </row>
    <row r="21">
      <c r="A21" s="1" t="inlineStr">
        <is>
          <t>2021-05-24</t>
        </is>
      </c>
      <c r="B21" t="inlineStr">
        <is>
          <t>news</t>
        </is>
      </c>
      <c r="C21" t="inlineStr">
        <is>
          <t>economy</t>
        </is>
      </c>
      <c r="D21" t="inlineStr">
        <is>
          <t>뉴시스</t>
        </is>
      </c>
      <c r="E21" t="inlineStr">
        <is>
          <t>배성윤</t>
        </is>
      </c>
      <c r="F21" t="inlineStr">
        <is>
          <t>이재명, 현대차연구소 방문…"공정한 경쟁 환경이 중요"</t>
        </is>
      </c>
      <c r="G21" s="2">
        <f>HYPERLINK("http://www.newsis.com/view/?id=NISX20210524_0001451285&amp;cID=10817&amp;pID=14000", "Go to Website")</f>
        <v/>
      </c>
      <c r="H21" t="inlineStr"/>
      <c r="I21" t="inlineStr">
        <is>
          <t>C30</t>
        </is>
      </c>
      <c r="J21" s="3" t="n">
        <v>1</v>
      </c>
      <c r="K21" t="inlineStr">
        <is>
          <t>자동차 및 트레일러 제조업</t>
        </is>
      </c>
      <c r="L21" t="inlineStr">
        <is>
          <t>0</t>
        </is>
      </c>
      <c r="M21" s="3" t="n">
        <v>0.996</v>
      </c>
      <c r="N21" t="inlineStr">
        <is>
          <t>중립</t>
        </is>
      </c>
    </row>
    <row r="22">
      <c r="A22" s="1" t="inlineStr">
        <is>
          <t>2021-05-24</t>
        </is>
      </c>
      <c r="B22" t="inlineStr">
        <is>
          <t>news</t>
        </is>
      </c>
      <c r="C22" t="inlineStr">
        <is>
          <t>economy</t>
        </is>
      </c>
      <c r="D22" t="inlineStr">
        <is>
          <t>머니투데이</t>
        </is>
      </c>
      <c r="E22" t="inlineStr">
        <is>
          <t>김소연</t>
        </is>
      </c>
      <c r="F22" t="inlineStr">
        <is>
          <t>한투운용, 車·ESG 투자 액티브ETF 출시…"과거 영광 재현"</t>
        </is>
      </c>
      <c r="G22" s="2">
        <f>HYPERLINK("http://news.mt.co.kr/mtview.php?no=2021052414055541258", "Go to Website")</f>
        <v/>
      </c>
      <c r="H22" t="inlineStr"/>
      <c r="I22" t="inlineStr">
        <is>
          <t>K64</t>
        </is>
      </c>
      <c r="J22" s="3" t="n">
        <v>1</v>
      </c>
      <c r="K22" t="inlineStr">
        <is>
          <t>금융업</t>
        </is>
      </c>
      <c r="L22" t="inlineStr"/>
      <c r="M22" t="inlineStr"/>
      <c r="N22" t="inlineStr"/>
    </row>
    <row r="23">
      <c r="A23" s="1" t="inlineStr">
        <is>
          <t>2021-05-24</t>
        </is>
      </c>
      <c r="B23" t="inlineStr">
        <is>
          <t>news</t>
        </is>
      </c>
      <c r="C23" t="inlineStr">
        <is>
          <t>economy</t>
        </is>
      </c>
      <c r="D23" t="inlineStr">
        <is>
          <t>디지털타임스</t>
        </is>
      </c>
      <c r="E23" t="inlineStr">
        <is>
          <t>김병탁</t>
        </is>
      </c>
      <c r="F23" t="inlineStr">
        <is>
          <t>한투운용, 친환경차·ESG 투자 `주식형 액티브 ETF 2종` 출시</t>
        </is>
      </c>
      <c r="G23" s="2">
        <f>HYPERLINK("http://www.dt.co.kr/contents.html?article_no=2021052402109963040002", "Go to Website")</f>
        <v/>
      </c>
      <c r="H23" t="inlineStr"/>
      <c r="I23" t="inlineStr">
        <is>
          <t>K64</t>
        </is>
      </c>
      <c r="J23" s="3" t="n">
        <v>1</v>
      </c>
      <c r="K23" t="inlineStr">
        <is>
          <t>금융업</t>
        </is>
      </c>
      <c r="L23" t="inlineStr">
        <is>
          <t>1</t>
        </is>
      </c>
      <c r="M23" s="3" t="n">
        <v>0.945</v>
      </c>
      <c r="N23" t="inlineStr">
        <is>
          <t>긍정</t>
        </is>
      </c>
    </row>
    <row r="24">
      <c r="A24" s="1" t="inlineStr">
        <is>
          <t>2021-05-24</t>
        </is>
      </c>
      <c r="B24" t="inlineStr">
        <is>
          <t>news</t>
        </is>
      </c>
      <c r="C24" t="inlineStr">
        <is>
          <t>economy</t>
        </is>
      </c>
      <c r="D24" t="inlineStr">
        <is>
          <t>한국경제</t>
        </is>
      </c>
      <c r="E24" t="inlineStr">
        <is>
          <t>구은서</t>
        </is>
      </c>
      <c r="F24" t="inlineStr">
        <is>
          <t>액티브 ETF 8종목 25일 동시 출격…어떤 종목에 투자할까</t>
        </is>
      </c>
      <c r="G24" s="2">
        <f>HYPERLINK("https://www.hankyung.com/finance/article/202105242298i", "Go to Website")</f>
        <v/>
      </c>
      <c r="H24" t="inlineStr"/>
      <c r="I24" t="inlineStr">
        <is>
          <t>K64</t>
        </is>
      </c>
      <c r="J24" s="3" t="n">
        <v>1</v>
      </c>
      <c r="K24" t="inlineStr">
        <is>
          <t>금융업</t>
        </is>
      </c>
      <c r="L24" t="inlineStr">
        <is>
          <t>0</t>
        </is>
      </c>
      <c r="M24" s="3" t="n">
        <v>0.994</v>
      </c>
      <c r="N24" t="inlineStr">
        <is>
          <t>중립</t>
        </is>
      </c>
    </row>
    <row r="25">
      <c r="A25" s="1" t="inlineStr">
        <is>
          <t>2021-05-24</t>
        </is>
      </c>
      <c r="B25" t="inlineStr">
        <is>
          <t>news</t>
        </is>
      </c>
      <c r="C25" t="inlineStr">
        <is>
          <t>economy</t>
        </is>
      </c>
      <c r="D25" t="inlineStr">
        <is>
          <t>전자신문</t>
        </is>
      </c>
      <c r="E25" t="inlineStr">
        <is>
          <t>김정희</t>
        </is>
      </c>
      <c r="F25" t="inlineStr">
        <is>
          <t>이재명, 현대차硏 찾아 “창의적 기업 역량 발휘, 공정한 경쟁 환경이 중요”</t>
        </is>
      </c>
      <c r="G25" s="2">
        <f>HYPERLINK("http://www.etnews.com/20210524000150", "Go to Website")</f>
        <v/>
      </c>
      <c r="H25" t="inlineStr"/>
      <c r="I25" t="inlineStr">
        <is>
          <t>C30</t>
        </is>
      </c>
      <c r="J25" s="3" t="n">
        <v>0.996</v>
      </c>
      <c r="K25" t="inlineStr">
        <is>
          <t>자동차 및 트레일러 제조업</t>
        </is>
      </c>
      <c r="L25" t="inlineStr">
        <is>
          <t>0</t>
        </is>
      </c>
      <c r="M25" s="3" t="n">
        <v>0.998</v>
      </c>
      <c r="N25" t="inlineStr">
        <is>
          <t>중립</t>
        </is>
      </c>
    </row>
    <row r="26">
      <c r="A26" s="1" t="inlineStr">
        <is>
          <t>2021-05-24</t>
        </is>
      </c>
      <c r="B26" t="inlineStr">
        <is>
          <t>news</t>
        </is>
      </c>
      <c r="C26" t="inlineStr">
        <is>
          <t>economy</t>
        </is>
      </c>
      <c r="D26" t="inlineStr">
        <is>
          <t>한국경제TV</t>
        </is>
      </c>
      <c r="E26" t="inlineStr">
        <is>
          <t>오민지</t>
        </is>
      </c>
      <c r="F26" t="inlineStr">
        <is>
          <t>한국투자신탁운용, 주식형 액티브 ETF 2종 출시</t>
        </is>
      </c>
      <c r="G26" s="2">
        <f>HYPERLINK("http://www.wowtv.co.kr/NewsCenter/News/Read?articleId=A202105240213&amp;t=NN", "Go to Website")</f>
        <v/>
      </c>
      <c r="H26" t="inlineStr"/>
      <c r="I26" t="inlineStr">
        <is>
          <t>K64</t>
        </is>
      </c>
      <c r="J26" s="3" t="n">
        <v>1</v>
      </c>
      <c r="K26" t="inlineStr">
        <is>
          <t>금융업</t>
        </is>
      </c>
      <c r="L26" t="inlineStr">
        <is>
          <t>1</t>
        </is>
      </c>
      <c r="M26" s="3" t="n">
        <v>0.966</v>
      </c>
      <c r="N26" t="inlineStr">
        <is>
          <t>긍정</t>
        </is>
      </c>
    </row>
    <row r="27">
      <c r="A27" s="1" t="inlineStr">
        <is>
          <t>2021-05-24</t>
        </is>
      </c>
      <c r="B27" t="inlineStr">
        <is>
          <t>news</t>
        </is>
      </c>
      <c r="C27" t="inlineStr">
        <is>
          <t>economy</t>
        </is>
      </c>
      <c r="D27" t="inlineStr">
        <is>
          <t>헤럴드경제</t>
        </is>
      </c>
      <c r="E27" t="inlineStr">
        <is>
          <t>이현정</t>
        </is>
      </c>
      <c r="F27" t="inlineStr">
        <is>
          <t>한국투자신탁운용, 주식형 액티브 ETF 2종 출시</t>
        </is>
      </c>
      <c r="G27" s="2">
        <f>HYPERLINK("http://news.heraldcorp.com/view.php?ud=20210524000645", "Go to Website")</f>
        <v/>
      </c>
      <c r="H27" t="inlineStr"/>
      <c r="I27" t="inlineStr">
        <is>
          <t>K64</t>
        </is>
      </c>
      <c r="J27" s="3" t="n">
        <v>1</v>
      </c>
      <c r="K27" t="inlineStr">
        <is>
          <t>금융업</t>
        </is>
      </c>
      <c r="L27" t="inlineStr"/>
      <c r="M27" t="inlineStr"/>
      <c r="N27" t="inlineStr"/>
    </row>
    <row r="28">
      <c r="A28" s="1" t="inlineStr">
        <is>
          <t>2021-05-24</t>
        </is>
      </c>
      <c r="B28" t="inlineStr">
        <is>
          <t>news</t>
        </is>
      </c>
      <c r="C28" t="inlineStr">
        <is>
          <t>economy</t>
        </is>
      </c>
      <c r="D28" t="inlineStr">
        <is>
          <t>헤럴드경제</t>
        </is>
      </c>
      <c r="E28" t="inlineStr">
        <is>
          <t>이현정</t>
        </is>
      </c>
      <c r="F28" t="inlineStr">
        <is>
          <t>한국투자신탁운용, 주식형 액티브 ETF 2종 출시</t>
        </is>
      </c>
      <c r="G28" s="2">
        <f>HYPERLINK("http://news.heraldcorp.com/view.php?ud=20210524000553", "Go to Website")</f>
        <v/>
      </c>
      <c r="H28" t="inlineStr"/>
      <c r="I28" t="inlineStr">
        <is>
          <t>K64</t>
        </is>
      </c>
      <c r="J28" s="3" t="n">
        <v>1</v>
      </c>
      <c r="K28" t="inlineStr">
        <is>
          <t>금융업</t>
        </is>
      </c>
      <c r="L28" t="inlineStr"/>
      <c r="M28" t="inlineStr"/>
      <c r="N28" t="inlineStr"/>
    </row>
    <row r="29">
      <c r="A29" s="1" t="inlineStr">
        <is>
          <t>2021-05-24</t>
        </is>
      </c>
      <c r="B29" t="inlineStr">
        <is>
          <t>news</t>
        </is>
      </c>
      <c r="C29" t="inlineStr">
        <is>
          <t>economy</t>
        </is>
      </c>
      <c r="D29" t="inlineStr">
        <is>
          <t>아이뉴스24</t>
        </is>
      </c>
      <c r="E29" t="inlineStr">
        <is>
          <t>한수연</t>
        </is>
      </c>
      <c r="F29" t="inlineStr">
        <is>
          <t>한투운용, 액티브 ETF 2종 상장…"친환경 분야서 승부수"</t>
        </is>
      </c>
      <c r="G29" s="2">
        <f>HYPERLINK("http://www.inews24.com/view/1369466", "Go to Website")</f>
        <v/>
      </c>
      <c r="H29" t="inlineStr"/>
      <c r="I29" t="inlineStr">
        <is>
          <t>K64</t>
        </is>
      </c>
      <c r="J29" s="3" t="n">
        <v>1</v>
      </c>
      <c r="K29" t="inlineStr">
        <is>
          <t>금융업</t>
        </is>
      </c>
      <c r="L29" t="inlineStr"/>
      <c r="M29" t="inlineStr"/>
      <c r="N29" t="inlineStr"/>
    </row>
    <row r="30">
      <c r="A30" s="1" t="inlineStr">
        <is>
          <t>2021-05-24</t>
        </is>
      </c>
      <c r="B30" t="inlineStr">
        <is>
          <t>news</t>
        </is>
      </c>
      <c r="C30" t="inlineStr">
        <is>
          <t>economy</t>
        </is>
      </c>
      <c r="D30" t="inlineStr">
        <is>
          <t>비즈니스워치</t>
        </is>
      </c>
      <c r="E30" t="inlineStr"/>
      <c r="F30" t="inlineStr">
        <is>
          <t>ESG로 승부수 띄운다…한투운용, 액티브 ETF 2종 상장</t>
        </is>
      </c>
      <c r="G30" s="2">
        <f>HYPERLINK("http://news.bizwatch.co.kr/article/market/2021/05/24/0013", "Go to Website")</f>
        <v/>
      </c>
      <c r="H30" t="inlineStr"/>
      <c r="I30" t="inlineStr">
        <is>
          <t>K64</t>
        </is>
      </c>
      <c r="J30" s="3" t="n">
        <v>0.999</v>
      </c>
      <c r="K30" t="inlineStr">
        <is>
          <t>금융업</t>
        </is>
      </c>
      <c r="L30" t="inlineStr"/>
      <c r="M30" t="inlineStr"/>
      <c r="N30" t="inlineStr"/>
    </row>
    <row r="31">
      <c r="A31" s="1" t="inlineStr">
        <is>
          <t>2021-05-24</t>
        </is>
      </c>
      <c r="B31" t="inlineStr">
        <is>
          <t>news</t>
        </is>
      </c>
      <c r="C31" t="inlineStr">
        <is>
          <t>economy</t>
        </is>
      </c>
      <c r="D31" t="inlineStr">
        <is>
          <t>한국경제</t>
        </is>
      </c>
      <c r="E31" t="inlineStr">
        <is>
          <t>김병근</t>
        </is>
      </c>
      <c r="F31" t="inlineStr">
        <is>
          <t>대원전선, 수출입은행 대상 전환사채 50억 발행</t>
        </is>
      </c>
      <c r="G31" s="2">
        <f>HYPERLINK("https://www.hankyung.com/economy/article/202105241617i", "Go to Website")</f>
        <v/>
      </c>
      <c r="H31" t="inlineStr"/>
      <c r="I31" t="inlineStr">
        <is>
          <t>C28</t>
        </is>
      </c>
      <c r="J31" s="3" t="n">
        <v>0.831</v>
      </c>
      <c r="K31" t="inlineStr">
        <is>
          <t>전기장비 제조업</t>
        </is>
      </c>
      <c r="L31" t="inlineStr">
        <is>
          <t>0</t>
        </is>
      </c>
      <c r="M31" s="3" t="n">
        <v>0.718</v>
      </c>
      <c r="N31" t="inlineStr">
        <is>
          <t>중립</t>
        </is>
      </c>
    </row>
    <row r="32">
      <c r="A32" s="1" t="inlineStr">
        <is>
          <t>2021-05-24</t>
        </is>
      </c>
      <c r="B32" t="inlineStr">
        <is>
          <t>news</t>
        </is>
      </c>
      <c r="C32" t="inlineStr">
        <is>
          <t>economy</t>
        </is>
      </c>
      <c r="D32" t="inlineStr">
        <is>
          <t>조선비즈</t>
        </is>
      </c>
      <c r="E32" t="inlineStr">
        <is>
          <t>이다비</t>
        </is>
      </c>
      <c r="F32" t="inlineStr">
        <is>
          <t>한투운용, 주식형 액티브 ETF 2종 출시…친환경차·ESG 투자</t>
        </is>
      </c>
      <c r="G32" s="2">
        <f>HYPERLINK("https://biz.chosun.com/stock/stock_general/2021/05/24/IMECESKBRRDXVK2M7DWSTTVOWI/?utm_medium=original&amp;utm_campaign=biz", "Go to Website")</f>
        <v/>
      </c>
      <c r="H32" t="inlineStr"/>
      <c r="I32" t="inlineStr">
        <is>
          <t>K64</t>
        </is>
      </c>
      <c r="J32" s="3" t="n">
        <v>1</v>
      </c>
      <c r="K32" t="inlineStr">
        <is>
          <t>금융업</t>
        </is>
      </c>
      <c r="L32" t="inlineStr"/>
      <c r="M32" t="inlineStr"/>
      <c r="N32" t="inlineStr"/>
    </row>
    <row r="33">
      <c r="A33" s="1" t="inlineStr">
        <is>
          <t>2021-05-24</t>
        </is>
      </c>
      <c r="B33" t="inlineStr">
        <is>
          <t>news</t>
        </is>
      </c>
      <c r="C33" t="inlineStr">
        <is>
          <t>economy</t>
        </is>
      </c>
      <c r="D33" t="inlineStr">
        <is>
          <t>데일리안</t>
        </is>
      </c>
      <c r="E33" t="inlineStr">
        <is>
          <t>이미경</t>
        </is>
      </c>
      <c r="F33" t="inlineStr">
        <is>
          <t>한투운용, '친환경차·ESG' 테마 주식형 액티브 ETF 2종 출시</t>
        </is>
      </c>
      <c r="G33" s="2">
        <f>HYPERLINK("https://www.dailian.co.kr/news/view/993984/", "Go to Website")</f>
        <v/>
      </c>
      <c r="H33" t="inlineStr"/>
      <c r="I33" t="inlineStr">
        <is>
          <t>K64</t>
        </is>
      </c>
      <c r="J33" s="3" t="n">
        <v>1</v>
      </c>
      <c r="K33" t="inlineStr">
        <is>
          <t>금융업</t>
        </is>
      </c>
      <c r="L33" t="inlineStr">
        <is>
          <t>1</t>
        </is>
      </c>
      <c r="M33" s="3" t="n">
        <v>0.862</v>
      </c>
      <c r="N33" t="inlineStr">
        <is>
          <t>긍정</t>
        </is>
      </c>
    </row>
    <row r="34">
      <c r="A34" s="1" t="inlineStr">
        <is>
          <t>2021-05-24</t>
        </is>
      </c>
      <c r="B34" t="inlineStr">
        <is>
          <t>news</t>
        </is>
      </c>
      <c r="C34" t="inlineStr">
        <is>
          <t>economy</t>
        </is>
      </c>
      <c r="D34" t="inlineStr">
        <is>
          <t>이데일리</t>
        </is>
      </c>
      <c r="E34" t="inlineStr">
        <is>
          <t>이은정</t>
        </is>
      </c>
      <c r="F34" t="inlineStr">
        <is>
          <t>[머니팁]한국투신운용, 'ESG·친환경차' 액티브 ETF 2종 출시</t>
        </is>
      </c>
      <c r="G34" s="2">
        <f>HYPERLINK("http://www.edaily.co.kr/news/newspath.asp?newsid=01899126629052200", "Go to Website")</f>
        <v/>
      </c>
      <c r="H34" t="inlineStr"/>
      <c r="I34" t="inlineStr">
        <is>
          <t>K64</t>
        </is>
      </c>
      <c r="J34" s="3" t="n">
        <v>1</v>
      </c>
      <c r="K34" t="inlineStr">
        <is>
          <t>금융업</t>
        </is>
      </c>
      <c r="L34" t="inlineStr">
        <is>
          <t>1</t>
        </is>
      </c>
      <c r="M34" s="3" t="n">
        <v>0.594</v>
      </c>
      <c r="N34" t="inlineStr">
        <is>
          <t>긍정</t>
        </is>
      </c>
    </row>
    <row r="35">
      <c r="A35" s="1" t="inlineStr">
        <is>
          <t>2021-05-24</t>
        </is>
      </c>
      <c r="B35" t="inlineStr">
        <is>
          <t>news</t>
        </is>
      </c>
      <c r="C35" t="inlineStr">
        <is>
          <t>economy</t>
        </is>
      </c>
      <c r="D35" t="inlineStr">
        <is>
          <t>연합뉴스</t>
        </is>
      </c>
      <c r="E35" t="inlineStr">
        <is>
          <t>박원희</t>
        </is>
      </c>
      <c r="F35" t="inlineStr">
        <is>
          <t>[증시신상품] 한투운용, 친환경차·ESG 투자 액티브 ETF 2종 출시</t>
        </is>
      </c>
      <c r="G35" s="2">
        <f>HYPERLINK("http://yna.kr/AKR20210524044900002?did=1195m", "Go to Website")</f>
        <v/>
      </c>
      <c r="H35" t="inlineStr"/>
      <c r="I35" t="inlineStr">
        <is>
          <t>K64</t>
        </is>
      </c>
      <c r="J35" s="3" t="n">
        <v>1</v>
      </c>
      <c r="K35" t="inlineStr">
        <is>
          <t>금융업</t>
        </is>
      </c>
      <c r="L35" t="inlineStr"/>
      <c r="M35" t="inlineStr"/>
      <c r="N35" t="inlineStr"/>
    </row>
    <row r="36">
      <c r="A36" s="1" t="inlineStr">
        <is>
          <t>2021-05-24</t>
        </is>
      </c>
      <c r="B36" t="inlineStr">
        <is>
          <t>news</t>
        </is>
      </c>
      <c r="C36" t="inlineStr">
        <is>
          <t>economy</t>
        </is>
      </c>
      <c r="D36" t="inlineStr">
        <is>
          <t>동아일보</t>
        </is>
      </c>
      <c r="E36" t="inlineStr">
        <is>
          <t>최용석</t>
        </is>
      </c>
      <c r="F36" t="inlineStr">
        <is>
          <t>비규제지역 아파트 ‘충주 모아미래도’ 6월 분양</t>
        </is>
      </c>
      <c r="G36" s="2">
        <f>HYPERLINK("https://www.donga.com/news/article/all/20210521/107051431/1", "Go to Website")</f>
        <v/>
      </c>
      <c r="H36" t="inlineStr"/>
      <c r="I36" t="inlineStr">
        <is>
          <t>L68</t>
        </is>
      </c>
      <c r="J36" s="3" t="n">
        <v>0.591</v>
      </c>
      <c r="K36" t="inlineStr">
        <is>
          <t>부동산업</t>
        </is>
      </c>
      <c r="L36" t="inlineStr"/>
      <c r="M36" t="inlineStr"/>
      <c r="N36" t="inlineStr"/>
    </row>
    <row r="37">
      <c r="A37" s="1" t="inlineStr">
        <is>
          <t>2021-05-24</t>
        </is>
      </c>
      <c r="B37" t="inlineStr">
        <is>
          <t>news</t>
        </is>
      </c>
      <c r="C37" t="inlineStr">
        <is>
          <t>economy</t>
        </is>
      </c>
      <c r="D37" t="inlineStr">
        <is>
          <t>뉴스1</t>
        </is>
      </c>
      <c r="E37" t="inlineStr">
        <is>
          <t>박응진</t>
        </is>
      </c>
      <c r="F37" t="inlineStr">
        <is>
          <t>한투운용, 친환경車·ESG 투자하는 주식형 액티브 ETF 2종 출시</t>
        </is>
      </c>
      <c r="G37" s="2">
        <f>HYPERLINK("https://www.news1.kr/articles/?4315192", "Go to Website")</f>
        <v/>
      </c>
      <c r="H37" t="inlineStr"/>
      <c r="I37" t="inlineStr">
        <is>
          <t>K64</t>
        </is>
      </c>
      <c r="J37" s="3" t="n">
        <v>1</v>
      </c>
      <c r="K37" t="inlineStr">
        <is>
          <t>금융업</t>
        </is>
      </c>
      <c r="L37" t="inlineStr"/>
      <c r="M37" t="inlineStr"/>
      <c r="N37" t="inlineStr"/>
    </row>
    <row r="38">
      <c r="A38" s="1" t="inlineStr">
        <is>
          <t>2021-05-24</t>
        </is>
      </c>
      <c r="B38" t="inlineStr">
        <is>
          <t>news</t>
        </is>
      </c>
      <c r="C38" t="inlineStr">
        <is>
          <t>economy</t>
        </is>
      </c>
      <c r="D38" t="inlineStr">
        <is>
          <t>파이낸셜뉴스</t>
        </is>
      </c>
      <c r="E38" t="inlineStr">
        <is>
          <t>김정호</t>
        </is>
      </c>
      <c r="F38" t="inlineStr">
        <is>
          <t>한투신운용, '친환경차·ESG 테마' 주식형 액티브 ETF 출시</t>
        </is>
      </c>
      <c r="G38" s="2">
        <f>HYPERLINK("http://www.fnnews.com/news/202105240840559390", "Go to Website")</f>
        <v/>
      </c>
      <c r="H38" t="inlineStr"/>
      <c r="I38" t="inlineStr">
        <is>
          <t>K64</t>
        </is>
      </c>
      <c r="J38" s="3" t="n">
        <v>1</v>
      </c>
      <c r="K38" t="inlineStr">
        <is>
          <t>금융업</t>
        </is>
      </c>
      <c r="L38" t="inlineStr">
        <is>
          <t>1</t>
        </is>
      </c>
      <c r="M38" s="3" t="n">
        <v>0.88</v>
      </c>
      <c r="N38" t="inlineStr">
        <is>
          <t>긍정</t>
        </is>
      </c>
    </row>
    <row r="39">
      <c r="A39" s="1" t="inlineStr">
        <is>
          <t>2021-05-24</t>
        </is>
      </c>
      <c r="B39" t="inlineStr">
        <is>
          <t>news</t>
        </is>
      </c>
      <c r="C39" t="inlineStr">
        <is>
          <t>economy</t>
        </is>
      </c>
      <c r="D39" t="inlineStr">
        <is>
          <t>아시아경제</t>
        </is>
      </c>
      <c r="E39" t="inlineStr">
        <is>
          <t>황준호</t>
        </is>
      </c>
      <c r="F39" t="inlineStr">
        <is>
          <t>네비게이터 '액티브ETF' 출시.. 30% 독자운용</t>
        </is>
      </c>
      <c r="G39" s="2">
        <f>HYPERLINK("https://view.asiae.co.kr/article/2021052408544251331", "Go to Website")</f>
        <v/>
      </c>
      <c r="H39" t="inlineStr"/>
      <c r="I39" t="inlineStr">
        <is>
          <t>K64</t>
        </is>
      </c>
      <c r="J39" s="3" t="n">
        <v>1</v>
      </c>
      <c r="K39" t="inlineStr">
        <is>
          <t>금융업</t>
        </is>
      </c>
      <c r="L39" t="inlineStr">
        <is>
          <t>1</t>
        </is>
      </c>
      <c r="M39" s="3" t="n">
        <v>0.987</v>
      </c>
      <c r="N39" t="inlineStr">
        <is>
          <t>긍정</t>
        </is>
      </c>
    </row>
    <row r="40">
      <c r="A40" s="1" t="inlineStr">
        <is>
          <t>2021-05-24</t>
        </is>
      </c>
      <c r="B40" t="inlineStr">
        <is>
          <t>news</t>
        </is>
      </c>
      <c r="C40" t="inlineStr">
        <is>
          <t>economy</t>
        </is>
      </c>
      <c r="D40" t="inlineStr">
        <is>
          <t>아이뉴스24</t>
        </is>
      </c>
      <c r="E40" t="inlineStr">
        <is>
          <t>김종성</t>
        </is>
      </c>
      <c r="F40" t="inlineStr">
        <is>
          <t>대양전기공업, 자동차용 센서 등으로 밸류에이션 재평가-하이투자증권</t>
        </is>
      </c>
      <c r="G40" s="2">
        <f>HYPERLINK("http://www.inews24.com/view/1369331", "Go to Website")</f>
        <v/>
      </c>
      <c r="H40" t="inlineStr"/>
      <c r="I40" t="inlineStr">
        <is>
          <t>C10</t>
        </is>
      </c>
      <c r="J40" s="3" t="n">
        <v>0.996</v>
      </c>
      <c r="K40" t="inlineStr">
        <is>
          <t>식료품 제조업</t>
        </is>
      </c>
      <c r="L40" t="inlineStr">
        <is>
          <t>1</t>
        </is>
      </c>
      <c r="M40" s="3" t="n">
        <v>0.981</v>
      </c>
      <c r="N40" t="inlineStr">
        <is>
          <t>긍정</t>
        </is>
      </c>
    </row>
    <row r="41">
      <c r="A41" s="1" t="inlineStr">
        <is>
          <t>2021-05-24</t>
        </is>
      </c>
      <c r="B41" t="inlineStr">
        <is>
          <t>news</t>
        </is>
      </c>
      <c r="C41" t="inlineStr">
        <is>
          <t>economy</t>
        </is>
      </c>
      <c r="D41" t="inlineStr">
        <is>
          <t>아시아경제</t>
        </is>
      </c>
      <c r="E41" t="inlineStr">
        <is>
          <t>이민지</t>
        </is>
      </c>
      <c r="F41" t="inlineStr">
        <is>
          <t>한국투자신탁운용, 주식형 액티브 ETF '네비게이터' 2종 선봬</t>
        </is>
      </c>
      <c r="G41" s="2">
        <f>HYPERLINK("https://view.asiae.co.kr/article/2021052408180162470", "Go to Website")</f>
        <v/>
      </c>
      <c r="H41" t="inlineStr"/>
      <c r="I41" t="inlineStr">
        <is>
          <t>K64</t>
        </is>
      </c>
      <c r="J41" s="3" t="n">
        <v>1</v>
      </c>
      <c r="K41" t="inlineStr">
        <is>
          <t>금융업</t>
        </is>
      </c>
      <c r="L41" t="inlineStr">
        <is>
          <t>0</t>
        </is>
      </c>
      <c r="M41" s="3" t="n">
        <v>0.919</v>
      </c>
      <c r="N41" t="inlineStr">
        <is>
          <t>중립</t>
        </is>
      </c>
    </row>
    <row r="42">
      <c r="A42" s="1" t="inlineStr">
        <is>
          <t>2021-05-24</t>
        </is>
      </c>
      <c r="B42" t="inlineStr">
        <is>
          <t>news</t>
        </is>
      </c>
      <c r="C42" t="inlineStr">
        <is>
          <t>economy</t>
        </is>
      </c>
      <c r="D42" t="inlineStr">
        <is>
          <t>이데일리</t>
        </is>
      </c>
      <c r="E42" t="inlineStr">
        <is>
          <t>유준하</t>
        </is>
      </c>
      <c r="F42" t="inlineStr">
        <is>
          <t>대양전기공업, 자동차용 센서로 기업가치 재평가-하이</t>
        </is>
      </c>
      <c r="G42" s="2">
        <f>HYPERLINK("http://www.edaily.co.kr/news/newspath.asp?newsid=01298886629052200", "Go to Website")</f>
        <v/>
      </c>
      <c r="H42" t="inlineStr"/>
      <c r="I42" t="inlineStr">
        <is>
          <t>C10</t>
        </is>
      </c>
      <c r="J42" s="3" t="n">
        <v>0.527</v>
      </c>
      <c r="K42" t="inlineStr">
        <is>
          <t>식료품 제조업</t>
        </is>
      </c>
      <c r="L42" t="inlineStr">
        <is>
          <t>1</t>
        </is>
      </c>
      <c r="M42" s="3" t="n">
        <v>0.979</v>
      </c>
      <c r="N42" t="inlineStr">
        <is>
          <t>긍정</t>
        </is>
      </c>
    </row>
    <row r="43">
      <c r="A43" s="1" t="inlineStr">
        <is>
          <t>2021-05-24</t>
        </is>
      </c>
      <c r="B43" t="inlineStr">
        <is>
          <t>news</t>
        </is>
      </c>
      <c r="C43" t="inlineStr">
        <is>
          <t>economy</t>
        </is>
      </c>
      <c r="D43" t="inlineStr">
        <is>
          <t>한경비즈니스</t>
        </is>
      </c>
      <c r="E43" t="inlineStr">
        <is>
          <t>유호승</t>
        </is>
      </c>
      <c r="F43" t="inlineStr">
        <is>
          <t>“전기차로 새 역사 쓴다”…미국 시장 2위 노리는 현대차</t>
        </is>
      </c>
      <c r="G43" s="2">
        <f>HYPERLINK("https://magazine.hankyung.com/business/article/202105202559b", "Go to Website")</f>
        <v/>
      </c>
      <c r="H43" t="inlineStr"/>
      <c r="I43" t="inlineStr">
        <is>
          <t>C30</t>
        </is>
      </c>
      <c r="J43" s="3" t="n">
        <v>0.9350000000000001</v>
      </c>
      <c r="K43" t="inlineStr">
        <is>
          <t>자동차 및 트레일러 제조업</t>
        </is>
      </c>
      <c r="L43" t="inlineStr">
        <is>
          <t>1</t>
        </is>
      </c>
      <c r="M43" s="3" t="n">
        <v>0.959</v>
      </c>
      <c r="N43" t="inlineStr">
        <is>
          <t>긍정</t>
        </is>
      </c>
    </row>
    <row r="44">
      <c r="A44" s="1" t="inlineStr">
        <is>
          <t>2021-05-24</t>
        </is>
      </c>
      <c r="B44" t="inlineStr">
        <is>
          <t>news</t>
        </is>
      </c>
      <c r="C44" t="inlineStr">
        <is>
          <t>economy</t>
        </is>
      </c>
      <c r="D44" t="inlineStr">
        <is>
          <t>머니투데이</t>
        </is>
      </c>
      <c r="E44" t="inlineStr">
        <is>
          <t>최민경</t>
        </is>
      </c>
      <c r="F44" t="inlineStr">
        <is>
          <t>포스코는 다 계획이 있었다…수소 기업 가는 길, '그린뉴딜' 승부수</t>
        </is>
      </c>
      <c r="G44" s="2">
        <f>HYPERLINK("http://news.mt.co.kr/mtview.php?no=2021052313394651152", "Go to Website")</f>
        <v/>
      </c>
      <c r="H44" t="inlineStr"/>
      <c r="I44" t="inlineStr">
        <is>
          <t>N76</t>
        </is>
      </c>
      <c r="J44" s="3" t="n">
        <v>0.679</v>
      </c>
      <c r="K44" t="inlineStr">
        <is>
          <t>임대업; 부동산 제외</t>
        </is>
      </c>
      <c r="L44" t="inlineStr">
        <is>
          <t>0</t>
        </is>
      </c>
      <c r="M44" s="3" t="n">
        <v>0.895</v>
      </c>
      <c r="N44" t="inlineStr">
        <is>
          <t>중립</t>
        </is>
      </c>
    </row>
    <row r="45">
      <c r="A45" s="1" t="inlineStr">
        <is>
          <t>2021-05-24</t>
        </is>
      </c>
      <c r="B45" t="inlineStr">
        <is>
          <t>news</t>
        </is>
      </c>
      <c r="C45" t="inlineStr">
        <is>
          <t>economy</t>
        </is>
      </c>
      <c r="D45" t="inlineStr">
        <is>
          <t>머니투데이</t>
        </is>
      </c>
      <c r="E45" t="inlineStr">
        <is>
          <t>우경희</t>
        </is>
      </c>
      <c r="F45" t="inlineStr">
        <is>
          <t>"수소생산 500배로" 제철 넘어 '수소보국', 진격의 포스코</t>
        </is>
      </c>
      <c r="G45" s="2">
        <f>HYPERLINK("http://news.mt.co.kr/mtview.php?no=2021052122554593095", "Go to Website")</f>
        <v/>
      </c>
      <c r="H45" t="inlineStr"/>
      <c r="I45" t="inlineStr">
        <is>
          <t>C24</t>
        </is>
      </c>
      <c r="J45" s="3" t="n">
        <v>0.981</v>
      </c>
      <c r="K45" t="inlineStr">
        <is>
          <t>1차 금속 제조업</t>
        </is>
      </c>
      <c r="L45" t="inlineStr">
        <is>
          <t>0</t>
        </is>
      </c>
      <c r="M45" s="3" t="n">
        <v>0.531</v>
      </c>
      <c r="N45" t="inlineStr">
        <is>
          <t>중립</t>
        </is>
      </c>
    </row>
    <row r="46">
      <c r="A46" s="1" t="inlineStr">
        <is>
          <t>2021-05-24</t>
        </is>
      </c>
      <c r="B46" t="inlineStr">
        <is>
          <t>news</t>
        </is>
      </c>
      <c r="C46" t="inlineStr">
        <is>
          <t>economy</t>
        </is>
      </c>
      <c r="D46" t="inlineStr">
        <is>
          <t>강원일보</t>
        </is>
      </c>
      <c r="E46" t="inlineStr">
        <is>
          <t>신형철</t>
        </is>
      </c>
      <c r="F46" t="inlineStr">
        <is>
          <t>저공해 '수소차' 인기…5개월 만에 계획치 절반 판매</t>
        </is>
      </c>
      <c r="G46" s="2">
        <f>HYPERLINK("http://www.kwnews.co.kr/nview.asp?aid=221052300143", "Go to Website")</f>
        <v/>
      </c>
      <c r="H46" t="inlineStr"/>
      <c r="I46" t="inlineStr">
        <is>
          <t>100</t>
        </is>
      </c>
      <c r="J46" s="3" t="n">
        <v>0.9379999999999999</v>
      </c>
      <c r="K46" t="inlineStr">
        <is>
          <t>분류 제외, 기타</t>
        </is>
      </c>
      <c r="L46" t="inlineStr">
        <is>
          <t>0</t>
        </is>
      </c>
      <c r="M46" s="3" t="n">
        <v>0.987</v>
      </c>
      <c r="N46" t="inlineStr">
        <is>
          <t>중립</t>
        </is>
      </c>
    </row>
    <row r="47">
      <c r="A47" s="1" t="inlineStr">
        <is>
          <t>2021-05-24</t>
        </is>
      </c>
      <c r="B47" t="inlineStr">
        <is>
          <t>news</t>
        </is>
      </c>
      <c r="C47" t="inlineStr">
        <is>
          <t>economy</t>
        </is>
      </c>
      <c r="D47" t="inlineStr">
        <is>
          <t>중앙일보</t>
        </is>
      </c>
      <c r="E47" t="inlineStr"/>
      <c r="F47" t="inlineStr">
        <is>
          <t>[비즈 칼럼] 0의 가능성</t>
        </is>
      </c>
      <c r="G47" s="2">
        <f>HYPERLINK("https://news.joins.com/article/olink/23659260", "Go to Website")</f>
        <v/>
      </c>
      <c r="H47" t="inlineStr"/>
      <c r="I47" t="inlineStr">
        <is>
          <t>L68</t>
        </is>
      </c>
      <c r="J47" s="3" t="n">
        <v>0.964</v>
      </c>
      <c r="K47" t="inlineStr">
        <is>
          <t>부동산업</t>
        </is>
      </c>
      <c r="L47" t="inlineStr">
        <is>
          <t>0</t>
        </is>
      </c>
      <c r="M47" s="3" t="n">
        <v>0.998</v>
      </c>
      <c r="N47" t="inlineStr">
        <is>
          <t>중립</t>
        </is>
      </c>
    </row>
    <row r="48">
      <c r="A48" s="1" t="inlineStr">
        <is>
          <t>2021-05-23</t>
        </is>
      </c>
      <c r="B48" t="inlineStr">
        <is>
          <t>news</t>
        </is>
      </c>
      <c r="C48" t="inlineStr">
        <is>
          <t>economy</t>
        </is>
      </c>
      <c r="D48" t="inlineStr">
        <is>
          <t>파이낸셜뉴스</t>
        </is>
      </c>
      <c r="E48" t="inlineStr">
        <is>
          <t>최종근</t>
        </is>
      </c>
      <c r="F48" t="inlineStr">
        <is>
          <t>수소차 ‘넥쏘’ 하반기 누적판매 2만대 넘는다</t>
        </is>
      </c>
      <c r="G48" s="2">
        <f>HYPERLINK("http://www.fnnews.com/news/202105231738460918", "Go to Website")</f>
        <v/>
      </c>
      <c r="H48" t="inlineStr"/>
      <c r="I48" t="inlineStr">
        <is>
          <t>C30</t>
        </is>
      </c>
      <c r="J48" s="3" t="n">
        <v>1</v>
      </c>
      <c r="K48" t="inlineStr">
        <is>
          <t>자동차 및 트레일러 제조업</t>
        </is>
      </c>
      <c r="L48" t="inlineStr"/>
      <c r="M48" t="inlineStr"/>
      <c r="N48" t="inlineStr"/>
    </row>
    <row r="49">
      <c r="A49" s="1" t="inlineStr">
        <is>
          <t>2021-05-23</t>
        </is>
      </c>
      <c r="B49" t="inlineStr">
        <is>
          <t>news</t>
        </is>
      </c>
      <c r="C49" t="inlineStr">
        <is>
          <t>economy</t>
        </is>
      </c>
      <c r="D49" t="inlineStr">
        <is>
          <t>매일경제</t>
        </is>
      </c>
      <c r="E49" t="inlineStr">
        <is>
          <t>송민근</t>
        </is>
      </c>
      <c r="F49" t="inlineStr">
        <is>
          <t>전기차 이어 수소차 보조금도 바닥</t>
        </is>
      </c>
      <c r="G49" s="2">
        <f>HYPERLINK("http://news.mk.co.kr/newsRead.php?no=495640&amp;year=2021", "Go to Website")</f>
        <v/>
      </c>
      <c r="H49" t="inlineStr"/>
      <c r="I49" t="inlineStr">
        <is>
          <t>100</t>
        </is>
      </c>
      <c r="J49" s="3" t="n">
        <v>0.5649999999999999</v>
      </c>
      <c r="K49" t="inlineStr">
        <is>
          <t>분류 제외, 기타</t>
        </is>
      </c>
      <c r="L49" t="inlineStr">
        <is>
          <t>0</t>
        </is>
      </c>
      <c r="M49" s="3" t="n">
        <v>0.883</v>
      </c>
      <c r="N49" t="inlineStr">
        <is>
          <t>중립</t>
        </is>
      </c>
    </row>
    <row r="50">
      <c r="A50" s="1" t="inlineStr">
        <is>
          <t>2021-05-23</t>
        </is>
      </c>
      <c r="B50" t="inlineStr">
        <is>
          <t>news</t>
        </is>
      </c>
      <c r="C50" t="inlineStr">
        <is>
          <t>economy</t>
        </is>
      </c>
      <c r="D50" t="inlineStr">
        <is>
          <t>매일경제</t>
        </is>
      </c>
      <c r="E50" t="inlineStr">
        <is>
          <t>한주형</t>
        </is>
      </c>
      <c r="F50" t="inlineStr">
        <is>
          <t>[포토] 수소차충전소에 늘어선 줄</t>
        </is>
      </c>
      <c r="G50" s="2">
        <f>HYPERLINK("http://news.mk.co.kr/newsRead.php?no=495641&amp;year=2021", "Go to Website")</f>
        <v/>
      </c>
      <c r="H50" t="inlineStr"/>
      <c r="I50" t="inlineStr">
        <is>
          <t>C26</t>
        </is>
      </c>
      <c r="J50" s="3" t="n">
        <v>0.409</v>
      </c>
      <c r="K50" t="inlineStr">
        <is>
          <t>전자 부품, 컴퓨터, 영상, 음향 및 통신장비 제조업</t>
        </is>
      </c>
      <c r="L50" t="inlineStr"/>
      <c r="M50" t="inlineStr"/>
      <c r="N50" t="inlineStr"/>
    </row>
    <row r="51">
      <c r="A51" s="1" t="inlineStr">
        <is>
          <t>2021-05-23</t>
        </is>
      </c>
      <c r="B51" t="inlineStr">
        <is>
          <t>news</t>
        </is>
      </c>
      <c r="C51" t="inlineStr">
        <is>
          <t>economy</t>
        </is>
      </c>
      <c r="D51" t="inlineStr">
        <is>
          <t>파이낸셜뉴스</t>
        </is>
      </c>
      <c r="E51" t="inlineStr">
        <is>
          <t>최종근</t>
        </is>
      </c>
      <c r="F51" t="inlineStr">
        <is>
          <t>수소차 넥쏘 하반기 누적판매 2만대 넘는다</t>
        </is>
      </c>
      <c r="G51" s="2">
        <f>HYPERLINK("http://www.fnnews.com/news/202105231011362158", "Go to Website")</f>
        <v/>
      </c>
      <c r="H51" t="inlineStr"/>
      <c r="I51" t="inlineStr">
        <is>
          <t>C30</t>
        </is>
      </c>
      <c r="J51" s="3" t="n">
        <v>0.838</v>
      </c>
      <c r="K51" t="inlineStr">
        <is>
          <t>자동차 및 트레일러 제조업</t>
        </is>
      </c>
      <c r="L51" t="inlineStr"/>
      <c r="M51" t="inlineStr"/>
      <c r="N51" t="inlineStr"/>
    </row>
    <row r="52">
      <c r="A52" s="1" t="inlineStr">
        <is>
          <t>2021-05-23</t>
        </is>
      </c>
      <c r="B52" t="inlineStr">
        <is>
          <t>news</t>
        </is>
      </c>
      <c r="C52" t="inlineStr">
        <is>
          <t>economy</t>
        </is>
      </c>
      <c r="D52" t="inlineStr">
        <is>
          <t>디지털타임스</t>
        </is>
      </c>
      <c r="E52" t="inlineStr"/>
      <c r="F52" t="inlineStr">
        <is>
          <t>`넥쏘` 인기에 수소차 보조금 빠른 소진…추경 불가피</t>
        </is>
      </c>
      <c r="G52" s="2">
        <f>HYPERLINK("http://www.dt.co.kr/contents.html?article_no=2021052302109958063004", "Go to Website")</f>
        <v/>
      </c>
      <c r="H52" t="inlineStr"/>
      <c r="I52" t="inlineStr">
        <is>
          <t>J61</t>
        </is>
      </c>
      <c r="J52" s="3" t="n">
        <v>0.785</v>
      </c>
      <c r="K52" t="inlineStr">
        <is>
          <t>우편 및 통신업</t>
        </is>
      </c>
      <c r="L52" t="inlineStr">
        <is>
          <t>0</t>
        </is>
      </c>
      <c r="M52" s="3" t="n">
        <v>0.996</v>
      </c>
      <c r="N52" t="inlineStr">
        <is>
          <t>중립</t>
        </is>
      </c>
    </row>
    <row r="53">
      <c r="A53" s="1" t="inlineStr">
        <is>
          <t>2021-05-23</t>
        </is>
      </c>
      <c r="B53" t="inlineStr">
        <is>
          <t>news</t>
        </is>
      </c>
      <c r="C53" t="inlineStr">
        <is>
          <t>economy</t>
        </is>
      </c>
      <c r="D53" t="inlineStr">
        <is>
          <t>매일경제</t>
        </is>
      </c>
      <c r="E53" t="inlineStr">
        <is>
          <t>송민근</t>
        </is>
      </c>
      <c r="F53" t="inlineStr">
        <is>
          <t>넥쏘 보조금 서울은 사실상 끝...지금 신청해도 추경 기다려야</t>
        </is>
      </c>
      <c r="G53" s="2">
        <f>HYPERLINK("http://news.mk.co.kr/newsRead.php?no=494987&amp;year=2021", "Go to Website")</f>
        <v/>
      </c>
      <c r="H53" t="inlineStr"/>
      <c r="I53" t="inlineStr">
        <is>
          <t>100</t>
        </is>
      </c>
      <c r="J53" s="3" t="n">
        <v>0.955</v>
      </c>
      <c r="K53" t="inlineStr">
        <is>
          <t>분류 제외, 기타</t>
        </is>
      </c>
      <c r="L53" t="inlineStr">
        <is>
          <t>0</t>
        </is>
      </c>
      <c r="M53" s="3" t="n">
        <v>0.996</v>
      </c>
      <c r="N53" t="inlineStr">
        <is>
          <t>중립</t>
        </is>
      </c>
    </row>
    <row r="54">
      <c r="A54" s="1" t="inlineStr">
        <is>
          <t>2021-05-23</t>
        </is>
      </c>
      <c r="B54" t="inlineStr">
        <is>
          <t>news</t>
        </is>
      </c>
      <c r="C54" t="inlineStr">
        <is>
          <t>economy</t>
        </is>
      </c>
      <c r="D54" t="inlineStr">
        <is>
          <t>연합뉴스</t>
        </is>
      </c>
      <c r="E54" t="inlineStr">
        <is>
          <t>김은경</t>
        </is>
      </c>
      <c r="F54" t="inlineStr">
        <is>
          <t>'넥쏘' 인기에 수소차 보조금 빠른 소진…일부 지자체 여력 없어</t>
        </is>
      </c>
      <c r="G54" s="2">
        <f>HYPERLINK("http://yna.kr/AKR20210522027800530?did=1195m", "Go to Website")</f>
        <v/>
      </c>
      <c r="H54" t="inlineStr"/>
      <c r="I54" t="inlineStr">
        <is>
          <t>100</t>
        </is>
      </c>
      <c r="J54" s="3" t="n">
        <v>0.333</v>
      </c>
      <c r="K54" t="inlineStr">
        <is>
          <t>분류 제외, 기타</t>
        </is>
      </c>
      <c r="L54" t="inlineStr"/>
      <c r="M54" t="inlineStr"/>
      <c r="N54" t="inlineStr"/>
    </row>
    <row r="55">
      <c r="A55" s="1" t="inlineStr">
        <is>
          <t>2021-05-22</t>
        </is>
      </c>
      <c r="B55" t="inlineStr">
        <is>
          <t>news</t>
        </is>
      </c>
      <c r="C55" t="inlineStr">
        <is>
          <t>economy</t>
        </is>
      </c>
      <c r="D55" t="inlineStr">
        <is>
          <t>YTN</t>
        </is>
      </c>
      <c r="E55" t="inlineStr"/>
      <c r="F55" t="inlineStr">
        <is>
          <t>한미 '백신 파트너십' 구축...美에 44조 원 투자</t>
        </is>
      </c>
      <c r="G55" s="2">
        <f>HYPERLINK("https://www.ytn.co.kr/_ln/0102_202105221514437108", "Go to Website")</f>
        <v/>
      </c>
      <c r="H55" t="inlineStr"/>
      <c r="I55" t="inlineStr">
        <is>
          <t>C21</t>
        </is>
      </c>
      <c r="J55" s="3" t="n">
        <v>0.955</v>
      </c>
      <c r="K55" t="inlineStr">
        <is>
          <t>의료용 물질 및 의약품 제조업</t>
        </is>
      </c>
      <c r="L55" t="inlineStr"/>
      <c r="M55" t="inlineStr"/>
      <c r="N55" t="inlineStr"/>
    </row>
    <row r="56">
      <c r="A56" s="1" t="inlineStr">
        <is>
          <t>2021-05-22</t>
        </is>
      </c>
      <c r="B56" t="inlineStr">
        <is>
          <t>news</t>
        </is>
      </c>
      <c r="C56" t="inlineStr">
        <is>
          <t>economy</t>
        </is>
      </c>
      <c r="D56" t="inlineStr">
        <is>
          <t>파이낸셜뉴스</t>
        </is>
      </c>
      <c r="E56" t="inlineStr">
        <is>
          <t>윤지영</t>
        </is>
      </c>
      <c r="F56" t="inlineStr">
        <is>
          <t>세람저축銀, ‘착한운전 정기적금’ 출시</t>
        </is>
      </c>
      <c r="G56" s="2">
        <f>HYPERLINK("http://www.fnnews.com/news/202105211222215298", "Go to Website")</f>
        <v/>
      </c>
      <c r="H56" t="inlineStr"/>
      <c r="I56" t="inlineStr">
        <is>
          <t>K64</t>
        </is>
      </c>
      <c r="J56" s="3" t="n">
        <v>1</v>
      </c>
      <c r="K56" t="inlineStr">
        <is>
          <t>금융업</t>
        </is>
      </c>
      <c r="L56" t="inlineStr"/>
      <c r="M56" t="inlineStr"/>
      <c r="N56" t="inlineStr"/>
    </row>
    <row r="57">
      <c r="A57" s="1" t="inlineStr">
        <is>
          <t>2021-05-22</t>
        </is>
      </c>
      <c r="B57" t="inlineStr">
        <is>
          <t>news</t>
        </is>
      </c>
      <c r="C57" t="inlineStr">
        <is>
          <t>tech</t>
        </is>
      </c>
      <c r="D57" t="inlineStr">
        <is>
          <t>동아사이언스</t>
        </is>
      </c>
      <c r="E57" t="inlineStr"/>
      <c r="F57" t="inlineStr">
        <is>
          <t>[프리미엄 리포트] 자동차 기술로 기후위기 극복한다</t>
        </is>
      </c>
      <c r="G57" s="2">
        <f>HYPERLINK("http://www.dongascience.com/news/view/46695", "Go to Website")</f>
        <v/>
      </c>
      <c r="H57" t="inlineStr"/>
      <c r="I57" t="inlineStr"/>
      <c r="J57" t="inlineStr"/>
      <c r="K57" t="inlineStr"/>
      <c r="L57" t="inlineStr"/>
      <c r="M57" t="inlineStr"/>
      <c r="N57" t="inlineStr"/>
    </row>
    <row r="58">
      <c r="A58" s="1" t="inlineStr">
        <is>
          <t>2021-05-22</t>
        </is>
      </c>
      <c r="B58" t="inlineStr">
        <is>
          <t>news</t>
        </is>
      </c>
      <c r="C58" t="inlineStr">
        <is>
          <t>economy</t>
        </is>
      </c>
      <c r="D58" t="inlineStr">
        <is>
          <t>한국경제TV</t>
        </is>
      </c>
      <c r="E58" t="inlineStr">
        <is>
          <t>신용훈</t>
        </is>
      </c>
      <c r="F58" t="inlineStr">
        <is>
          <t>4대그룹 미국에 44조원 투자...경제동맹 강화[한미정상회담]</t>
        </is>
      </c>
      <c r="G58" s="2">
        <f>HYPERLINK("http://www.wowtv.co.kr/NewsCenter/News/Read?articleId=A202105220024&amp;t=NN", "Go to Website")</f>
        <v/>
      </c>
      <c r="H58" t="inlineStr"/>
      <c r="I58" t="inlineStr">
        <is>
          <t>K64</t>
        </is>
      </c>
      <c r="J58" s="3" t="n">
        <v>0.901</v>
      </c>
      <c r="K58" t="inlineStr">
        <is>
          <t>금융업</t>
        </is>
      </c>
      <c r="L58" t="inlineStr"/>
      <c r="M58" t="inlineStr"/>
      <c r="N58" t="inlineStr"/>
    </row>
    <row r="59">
      <c r="A59" s="1" t="inlineStr">
        <is>
          <t>2021-05-22</t>
        </is>
      </c>
      <c r="B59" t="inlineStr">
        <is>
          <t>news</t>
        </is>
      </c>
      <c r="C59" t="inlineStr">
        <is>
          <t>tech</t>
        </is>
      </c>
      <c r="D59" t="inlineStr">
        <is>
          <t>조선일보</t>
        </is>
      </c>
      <c r="E59" t="inlineStr">
        <is>
          <t>최인준</t>
        </is>
      </c>
      <c r="F59" t="inlineStr">
        <is>
          <t>[NOW] 도쿄올림픽 두달 앞인데… 속타는 후원사들</t>
        </is>
      </c>
      <c r="G59" s="2">
        <f>HYPERLINK("https://www.chosun.com/economy/tech_it/2021/05/22/LU2D64DAANHVPJYYD7BNKYVUAI/?utm_medium=referral&amp;utm_campaign=naver-news", "Go to Website")</f>
        <v/>
      </c>
      <c r="H59" t="inlineStr"/>
      <c r="I59" t="inlineStr"/>
      <c r="J59" t="inlineStr"/>
      <c r="K59" t="inlineStr"/>
      <c r="L59" t="inlineStr"/>
      <c r="M59" t="inlineStr"/>
      <c r="N59" t="inlineStr"/>
    </row>
    <row r="60">
      <c r="A60" s="1" t="inlineStr">
        <is>
          <t>2021-05-22</t>
        </is>
      </c>
      <c r="B60" t="inlineStr">
        <is>
          <t>news</t>
        </is>
      </c>
      <c r="C60" t="inlineStr">
        <is>
          <t>economy</t>
        </is>
      </c>
      <c r="D60" t="inlineStr">
        <is>
          <t>중앙SUNDAY</t>
        </is>
      </c>
      <c r="E60" t="inlineStr"/>
      <c r="F60" t="inlineStr">
        <is>
          <t>철강산업 탄소 감축, 정부가 전력 문제 풀어줘야 가능</t>
        </is>
      </c>
      <c r="G60" s="2">
        <f>HYPERLINK("http://news.joins.com/article/olink/23658486", "Go to Website")</f>
        <v/>
      </c>
      <c r="H60" t="inlineStr"/>
      <c r="I60" t="inlineStr">
        <is>
          <t>100</t>
        </is>
      </c>
      <c r="J60" s="3" t="n">
        <v>0.619</v>
      </c>
      <c r="K60" t="inlineStr">
        <is>
          <t>분류 제외, 기타</t>
        </is>
      </c>
      <c r="L60" t="inlineStr">
        <is>
          <t>0</t>
        </is>
      </c>
      <c r="M60" s="3" t="n">
        <v>0.965</v>
      </c>
      <c r="N60" t="inlineStr">
        <is>
          <t>중립</t>
        </is>
      </c>
    </row>
    <row r="61">
      <c r="A61" s="1" t="inlineStr">
        <is>
          <t>2021-05-21</t>
        </is>
      </c>
      <c r="B61" t="inlineStr">
        <is>
          <t>news</t>
        </is>
      </c>
      <c r="C61" t="inlineStr">
        <is>
          <t>economy</t>
        </is>
      </c>
      <c r="D61" t="inlineStr">
        <is>
          <t>데일리안</t>
        </is>
      </c>
      <c r="E61" t="inlineStr">
        <is>
          <t>백서원</t>
        </is>
      </c>
      <c r="F61" t="inlineStr">
        <is>
          <t>키움자산운용 차세대 모빌리티 펀드, 설정액 1000억 돌파</t>
        </is>
      </c>
      <c r="G61" s="2">
        <f>HYPERLINK("https://www.dailian.co.kr/news/view/993649/", "Go to Website")</f>
        <v/>
      </c>
      <c r="H61" t="inlineStr"/>
      <c r="I61" t="inlineStr">
        <is>
          <t>K64</t>
        </is>
      </c>
      <c r="J61" s="3" t="n">
        <v>0.999</v>
      </c>
      <c r="K61" t="inlineStr">
        <is>
          <t>금융업</t>
        </is>
      </c>
      <c r="L61" t="inlineStr"/>
      <c r="M61" t="inlineStr"/>
      <c r="N61" t="inlineStr"/>
    </row>
    <row r="62">
      <c r="A62" s="1" t="inlineStr">
        <is>
          <t>2021-05-21</t>
        </is>
      </c>
      <c r="B62" t="inlineStr">
        <is>
          <t>news</t>
        </is>
      </c>
      <c r="C62" t="inlineStr">
        <is>
          <t>economy</t>
        </is>
      </c>
      <c r="D62" t="inlineStr">
        <is>
          <t>연합뉴스TV</t>
        </is>
      </c>
      <c r="E62" t="inlineStr">
        <is>
          <t>나경렬</t>
        </is>
      </c>
      <c r="F62" t="inlineStr">
        <is>
          <t>"2040년 전국 2시간 생활권…친환경차 1천만대"</t>
        </is>
      </c>
      <c r="G62" s="2">
        <f>HYPERLINK("http://www.yonhapnewstv.co.kr/MYH20210521018400641/?did=1825m", "Go to Website")</f>
        <v/>
      </c>
      <c r="H62" t="inlineStr"/>
      <c r="I62" t="inlineStr">
        <is>
          <t>100</t>
        </is>
      </c>
      <c r="J62" s="3" t="n">
        <v>0.609</v>
      </c>
      <c r="K62" t="inlineStr">
        <is>
          <t>분류 제외, 기타</t>
        </is>
      </c>
      <c r="L62" t="inlineStr">
        <is>
          <t>0</t>
        </is>
      </c>
      <c r="M62" s="3" t="n">
        <v>0.976</v>
      </c>
      <c r="N62" t="inlineStr">
        <is>
          <t>중립</t>
        </is>
      </c>
    </row>
    <row r="63">
      <c r="A63" s="1" t="inlineStr">
        <is>
          <t>2021-05-21</t>
        </is>
      </c>
      <c r="B63" t="inlineStr">
        <is>
          <t>news</t>
        </is>
      </c>
      <c r="C63" t="inlineStr">
        <is>
          <t>tech</t>
        </is>
      </c>
      <c r="D63" t="inlineStr">
        <is>
          <t>ZDNet Korea</t>
        </is>
      </c>
      <c r="E63" t="inlineStr">
        <is>
          <t>안희정</t>
        </is>
      </c>
      <c r="F63" t="inlineStr">
        <is>
          <t>아이마켓코리아, 시그넷이브이와전기차 충전 사업 맞손</t>
        </is>
      </c>
      <c r="G63" s="2">
        <f>HYPERLINK("https://zdnet.co.kr/view/?no=20210521170343", "Go to Website")</f>
        <v/>
      </c>
      <c r="H63" t="inlineStr"/>
      <c r="I63" t="inlineStr"/>
      <c r="J63" t="inlineStr"/>
      <c r="K63" t="inlineStr"/>
      <c r="L63" t="inlineStr"/>
      <c r="M63" t="inlineStr"/>
      <c r="N63" t="inlineStr"/>
    </row>
    <row r="64">
      <c r="A64" s="1" t="inlineStr">
        <is>
          <t>2021-05-21</t>
        </is>
      </c>
      <c r="B64" t="inlineStr">
        <is>
          <t>news</t>
        </is>
      </c>
      <c r="C64" t="inlineStr">
        <is>
          <t>economy</t>
        </is>
      </c>
      <c r="D64" t="inlineStr">
        <is>
          <t>한국일보</t>
        </is>
      </c>
      <c r="E64" t="inlineStr">
        <is>
          <t>강진구</t>
        </is>
      </c>
      <c r="F64" t="inlineStr">
        <is>
          <t>2040년 전기·수소차 1000만 대 시대...신차 80%는 자율주행차</t>
        </is>
      </c>
      <c r="G64" s="2">
        <f>HYPERLINK("https://hankookilbo.com/News/Read/A2021052110000001628?did=NA", "Go to Website")</f>
        <v/>
      </c>
      <c r="H64" t="inlineStr"/>
      <c r="I64" t="inlineStr">
        <is>
          <t>100</t>
        </is>
      </c>
      <c r="J64" s="3" t="n">
        <v>0.827</v>
      </c>
      <c r="K64" t="inlineStr">
        <is>
          <t>분류 제외, 기타</t>
        </is>
      </c>
      <c r="L64" t="inlineStr"/>
      <c r="M64" t="inlineStr"/>
      <c r="N64" t="inlineStr"/>
    </row>
    <row r="65">
      <c r="A65" s="1" t="inlineStr">
        <is>
          <t>2021-05-21</t>
        </is>
      </c>
      <c r="B65" t="inlineStr">
        <is>
          <t>news</t>
        </is>
      </c>
      <c r="C65" t="inlineStr">
        <is>
          <t>economy</t>
        </is>
      </c>
      <c r="D65" t="inlineStr">
        <is>
          <t>매일신문</t>
        </is>
      </c>
      <c r="E65" t="inlineStr">
        <is>
          <t>김윤기</t>
        </is>
      </c>
      <c r="F65" t="inlineStr">
        <is>
          <t>"변해야 산다", 대구기업 미래산업으로 재편 움직임 활발</t>
        </is>
      </c>
      <c r="G65" s="2">
        <f>HYPERLINK("https://news.imaeil.com/Economy/2021052114301384301", "Go to Website")</f>
        <v/>
      </c>
      <c r="H65" t="inlineStr"/>
      <c r="I65" t="inlineStr">
        <is>
          <t>100</t>
        </is>
      </c>
      <c r="J65" s="3" t="n">
        <v>0.655</v>
      </c>
      <c r="K65" t="inlineStr">
        <is>
          <t>분류 제외, 기타</t>
        </is>
      </c>
      <c r="L65" t="inlineStr">
        <is>
          <t>0</t>
        </is>
      </c>
      <c r="M65" s="3" t="n">
        <v>0.996</v>
      </c>
      <c r="N65" t="inlineStr">
        <is>
          <t>중립</t>
        </is>
      </c>
    </row>
    <row r="66">
      <c r="A66" s="1" t="inlineStr">
        <is>
          <t>2021-05-21</t>
        </is>
      </c>
      <c r="B66" t="inlineStr">
        <is>
          <t>news</t>
        </is>
      </c>
      <c r="C66" t="inlineStr">
        <is>
          <t>economy</t>
        </is>
      </c>
      <c r="D66" t="inlineStr">
        <is>
          <t>비즈니스워치</t>
        </is>
      </c>
      <c r="E66" t="inlineStr"/>
      <c r="F66" t="inlineStr">
        <is>
          <t>현대차그룹주 '몰빵투자'…모빌리티펀드 수익률 '쌩쌩'</t>
        </is>
      </c>
      <c r="G66" s="2">
        <f>HYPERLINK("http://news.bizwatch.co.kr/article/market/2021/05/21/0010", "Go to Website")</f>
        <v/>
      </c>
      <c r="H66" t="inlineStr"/>
      <c r="I66" t="inlineStr">
        <is>
          <t>C30</t>
        </is>
      </c>
      <c r="J66" s="3" t="n">
        <v>0.995</v>
      </c>
      <c r="K66" t="inlineStr">
        <is>
          <t>자동차 및 트레일러 제조업</t>
        </is>
      </c>
      <c r="L66" t="inlineStr"/>
      <c r="M66" t="inlineStr"/>
      <c r="N66" t="inlineStr"/>
    </row>
    <row r="67">
      <c r="A67" s="1" t="inlineStr">
        <is>
          <t>2021-05-21</t>
        </is>
      </c>
      <c r="B67" t="inlineStr">
        <is>
          <t>news</t>
        </is>
      </c>
      <c r="C67" t="inlineStr">
        <is>
          <t>economy</t>
        </is>
      </c>
      <c r="D67" t="inlineStr">
        <is>
          <t>이데일리</t>
        </is>
      </c>
      <c r="E67" t="inlineStr">
        <is>
          <t>권효중</t>
        </is>
      </c>
      <c r="F67" t="inlineStr">
        <is>
          <t>비디아이, 美 ACPS와 협력 강화…"그린에너지 사업 강화"</t>
        </is>
      </c>
      <c r="G67" s="2">
        <f>HYPERLINK("http://www.edaily.co.kr/news/newspath.asp?newsid=02348486629051216", "Go to Website")</f>
        <v/>
      </c>
      <c r="H67" t="inlineStr"/>
      <c r="I67" t="inlineStr">
        <is>
          <t>C29</t>
        </is>
      </c>
      <c r="J67" s="3" t="n">
        <v>0.994</v>
      </c>
      <c r="K67" t="inlineStr">
        <is>
          <t>기타 기계 및 장비 제조업</t>
        </is>
      </c>
      <c r="L67" t="inlineStr"/>
      <c r="M67" t="inlineStr"/>
      <c r="N67" t="inlineStr"/>
    </row>
    <row r="68">
      <c r="A68" s="1" t="inlineStr">
        <is>
          <t>2021-05-21</t>
        </is>
      </c>
      <c r="B68" t="inlineStr">
        <is>
          <t>news</t>
        </is>
      </c>
      <c r="C68" t="inlineStr">
        <is>
          <t>economy</t>
        </is>
      </c>
      <c r="D68" t="inlineStr">
        <is>
          <t>한국경제</t>
        </is>
      </c>
      <c r="E68" t="inlineStr">
        <is>
          <t>한경닷컴</t>
        </is>
      </c>
      <c r="F68" t="inlineStr">
        <is>
          <t>공장 휴업, 인건비는 그대로…현대차 2분기 '조단위 손실' 우려</t>
        </is>
      </c>
      <c r="G68" s="2">
        <f>HYPERLINK("https://www.hankyung.com/economy/article/202105215298g", "Go to Website")</f>
        <v/>
      </c>
      <c r="H68" t="inlineStr"/>
      <c r="I68" t="inlineStr">
        <is>
          <t>C30</t>
        </is>
      </c>
      <c r="J68" s="3" t="n">
        <v>0.918</v>
      </c>
      <c r="K68" t="inlineStr">
        <is>
          <t>자동차 및 트레일러 제조업</t>
        </is>
      </c>
      <c r="L68" t="inlineStr">
        <is>
          <t>-1</t>
        </is>
      </c>
      <c r="M68" s="3" t="n">
        <v>0.998</v>
      </c>
      <c r="N68" t="inlineStr">
        <is>
          <t>부정</t>
        </is>
      </c>
    </row>
    <row r="69">
      <c r="A69" s="1" t="inlineStr">
        <is>
          <t>2021-05-21</t>
        </is>
      </c>
      <c r="B69" t="inlineStr">
        <is>
          <t>news</t>
        </is>
      </c>
      <c r="C69" t="inlineStr">
        <is>
          <t>economy</t>
        </is>
      </c>
      <c r="D69" t="inlineStr">
        <is>
          <t>부산일보</t>
        </is>
      </c>
      <c r="E69" t="inlineStr">
        <is>
          <t>김덕준</t>
        </is>
      </c>
      <c r="F69" t="inlineStr">
        <is>
          <t>“20년후 교통사고 사망자 ‘제로화’ 신차판매 전기·수소차 100% 달성”</t>
        </is>
      </c>
      <c r="G69" s="2">
        <f>HYPERLINK("http://www.busan.com/view/busan/view.php?code=2021052112041778324", "Go to Website")</f>
        <v/>
      </c>
      <c r="H69" t="inlineStr"/>
      <c r="I69" t="inlineStr">
        <is>
          <t>C30</t>
        </is>
      </c>
      <c r="J69" s="3" t="n">
        <v>0.383</v>
      </c>
      <c r="K69" t="inlineStr">
        <is>
          <t>자동차 및 트레일러 제조업</t>
        </is>
      </c>
      <c r="L69" t="inlineStr"/>
      <c r="M69" t="inlineStr"/>
      <c r="N69" t="inlineStr"/>
    </row>
    <row r="70">
      <c r="A70" s="1" t="inlineStr">
        <is>
          <t>2021-05-21</t>
        </is>
      </c>
      <c r="B70" t="inlineStr">
        <is>
          <t>news</t>
        </is>
      </c>
      <c r="C70" t="inlineStr">
        <is>
          <t>economy</t>
        </is>
      </c>
      <c r="D70" t="inlineStr">
        <is>
          <t>머니투데이</t>
        </is>
      </c>
      <c r="E70" t="inlineStr">
        <is>
          <t>구경민</t>
        </is>
      </c>
      <c r="F70" t="inlineStr">
        <is>
          <t>키움투자자산운용, '키움 차세대 모빌리티 펀드' 설정액 1000억 돌파</t>
        </is>
      </c>
      <c r="G70" s="2">
        <f>HYPERLINK("http://news.mt.co.kr/mtview.php?no=2021052111000640329", "Go to Website")</f>
        <v/>
      </c>
      <c r="H70" t="inlineStr"/>
      <c r="I70" t="inlineStr">
        <is>
          <t>K64</t>
        </is>
      </c>
      <c r="J70" s="3" t="n">
        <v>0.999</v>
      </c>
      <c r="K70" t="inlineStr">
        <is>
          <t>금융업</t>
        </is>
      </c>
      <c r="L70" t="inlineStr"/>
      <c r="M70" t="inlineStr"/>
      <c r="N70" t="inlineStr"/>
    </row>
    <row r="71">
      <c r="A71" s="1" t="inlineStr">
        <is>
          <t>2021-05-21</t>
        </is>
      </c>
      <c r="B71" t="inlineStr">
        <is>
          <t>news</t>
        </is>
      </c>
      <c r="C71" t="inlineStr">
        <is>
          <t>economy</t>
        </is>
      </c>
      <c r="D71" t="inlineStr">
        <is>
          <t>이데일리</t>
        </is>
      </c>
      <c r="E71" t="inlineStr">
        <is>
          <t>김윤지</t>
        </is>
      </c>
      <c r="F71" t="inlineStr">
        <is>
          <t>‘키움 차세대 모빌리티 펀드’ 설정액 1000억원 돌파</t>
        </is>
      </c>
      <c r="G71" s="2">
        <f>HYPERLINK("http://www.edaily.co.kr/news/newspath.asp?newsid=02105766629051216", "Go to Website")</f>
        <v/>
      </c>
      <c r="H71" t="inlineStr"/>
      <c r="I71" t="inlineStr">
        <is>
          <t>K64</t>
        </is>
      </c>
      <c r="J71" s="3" t="n">
        <v>0.994</v>
      </c>
      <c r="K71" t="inlineStr">
        <is>
          <t>금융업</t>
        </is>
      </c>
      <c r="L71" t="inlineStr"/>
      <c r="M71" t="inlineStr"/>
      <c r="N71" t="inlineStr"/>
    </row>
    <row r="72">
      <c r="A72" s="1" t="inlineStr">
        <is>
          <t>2021-05-21</t>
        </is>
      </c>
      <c r="B72" t="inlineStr">
        <is>
          <t>news</t>
        </is>
      </c>
      <c r="C72" t="inlineStr">
        <is>
          <t>economy</t>
        </is>
      </c>
      <c r="D72" t="inlineStr">
        <is>
          <t>머니S</t>
        </is>
      </c>
      <c r="E72" t="inlineStr">
        <is>
          <t>안서진</t>
        </is>
      </c>
      <c r="F72" t="inlineStr">
        <is>
          <t>키움 차세대 모빌리티 펀드, 설정액 1000억원 돌파</t>
        </is>
      </c>
      <c r="G72" s="2">
        <f>HYPERLINK("http://moneys.mt.co.kr/news/mwView.php?no=2021052110518072822", "Go to Website")</f>
        <v/>
      </c>
      <c r="H72" t="inlineStr"/>
      <c r="I72" t="inlineStr">
        <is>
          <t>K64</t>
        </is>
      </c>
      <c r="J72" s="3" t="n">
        <v>0.979</v>
      </c>
      <c r="K72" t="inlineStr">
        <is>
          <t>금융업</t>
        </is>
      </c>
      <c r="L72" t="inlineStr"/>
      <c r="M72" t="inlineStr"/>
      <c r="N72" t="inlineStr"/>
    </row>
    <row r="73">
      <c r="A73" s="1" t="inlineStr">
        <is>
          <t>2021-05-21</t>
        </is>
      </c>
      <c r="B73" t="inlineStr">
        <is>
          <t>news</t>
        </is>
      </c>
      <c r="C73" t="inlineStr">
        <is>
          <t>economy</t>
        </is>
      </c>
      <c r="D73" t="inlineStr">
        <is>
          <t>매일경제</t>
        </is>
      </c>
      <c r="E73" t="inlineStr">
        <is>
          <t>신유경</t>
        </is>
      </c>
      <c r="F73" t="inlineStr">
        <is>
          <t>유럽증시 상승세에 국내 자동차·2차전지株 달린다</t>
        </is>
      </c>
      <c r="G73" s="2">
        <f>HYPERLINK("http://news.mk.co.kr/newsRead.php?no=489804&amp;year=2021", "Go to Website")</f>
        <v/>
      </c>
      <c r="H73" t="inlineStr"/>
      <c r="I73" t="inlineStr">
        <is>
          <t>100</t>
        </is>
      </c>
      <c r="J73" s="3" t="n">
        <v>0.999</v>
      </c>
      <c r="K73" t="inlineStr">
        <is>
          <t>분류 제외, 기타</t>
        </is>
      </c>
      <c r="L73" t="inlineStr"/>
      <c r="M73" t="inlineStr"/>
      <c r="N73" t="inlineStr"/>
    </row>
    <row r="74">
      <c r="A74" s="1" t="inlineStr">
        <is>
          <t>2021-05-21</t>
        </is>
      </c>
      <c r="B74" t="inlineStr">
        <is>
          <t>news</t>
        </is>
      </c>
      <c r="C74" t="inlineStr">
        <is>
          <t>economy</t>
        </is>
      </c>
      <c r="D74" t="inlineStr">
        <is>
          <t>서울경제</t>
        </is>
      </c>
      <c r="E74" t="inlineStr">
        <is>
          <t>이혜진</t>
        </is>
      </c>
      <c r="F74" t="inlineStr">
        <is>
          <t>키움 차세대 모빌리티 펀드, 설정액 1,000억원 돌파</t>
        </is>
      </c>
      <c r="G74" s="2">
        <f>HYPERLINK("https://www.sedaily.com/NewsView/22MG2X3WY2", "Go to Website")</f>
        <v/>
      </c>
      <c r="H74" t="inlineStr"/>
      <c r="I74" t="inlineStr">
        <is>
          <t>K64</t>
        </is>
      </c>
      <c r="J74" s="3" t="n">
        <v>0.994</v>
      </c>
      <c r="K74" t="inlineStr">
        <is>
          <t>금융업</t>
        </is>
      </c>
      <c r="L74" t="inlineStr">
        <is>
          <t>1</t>
        </is>
      </c>
      <c r="M74" s="3" t="n">
        <v>0.846</v>
      </c>
      <c r="N74" t="inlineStr">
        <is>
          <t>긍정</t>
        </is>
      </c>
    </row>
    <row r="75">
      <c r="A75" s="1" t="inlineStr">
        <is>
          <t>2021-05-21</t>
        </is>
      </c>
      <c r="B75" t="inlineStr">
        <is>
          <t>news</t>
        </is>
      </c>
      <c r="C75" t="inlineStr">
        <is>
          <t>economy</t>
        </is>
      </c>
      <c r="D75" t="inlineStr">
        <is>
          <t>문화일보</t>
        </is>
      </c>
      <c r="E75" t="inlineStr">
        <is>
          <t>임대환</t>
        </is>
      </c>
      <c r="F75" t="inlineStr">
        <is>
          <t>신한銀 ‘Zero Carbon ·Zero Fuel’ 선언</t>
        </is>
      </c>
      <c r="G75" s="2">
        <f>HYPERLINK("http://www.munhwa.com/news/view.html?no=20210521MW101128887225", "Go to Website")</f>
        <v/>
      </c>
      <c r="H75" t="inlineStr"/>
      <c r="I75" t="inlineStr">
        <is>
          <t>C28</t>
        </is>
      </c>
      <c r="J75" s="3" t="n">
        <v>0.948</v>
      </c>
      <c r="K75" t="inlineStr">
        <is>
          <t>전기장비 제조업</t>
        </is>
      </c>
      <c r="L75" t="inlineStr">
        <is>
          <t>0</t>
        </is>
      </c>
      <c r="M75" s="3" t="n">
        <v>0.99</v>
      </c>
      <c r="N75" t="inlineStr">
        <is>
          <t>중립</t>
        </is>
      </c>
    </row>
    <row r="76">
      <c r="A76" s="1" t="inlineStr">
        <is>
          <t>2021-05-21</t>
        </is>
      </c>
      <c r="B76" t="inlineStr">
        <is>
          <t>news</t>
        </is>
      </c>
      <c r="C76" t="inlineStr">
        <is>
          <t>economy</t>
        </is>
      </c>
      <c r="D76" t="inlineStr">
        <is>
          <t>뉴시스</t>
        </is>
      </c>
      <c r="E76" t="inlineStr">
        <is>
          <t>신효령</t>
        </is>
      </c>
      <c r="F76" t="inlineStr">
        <is>
          <t>정태영 현대캐피탈 부회장의 ESG 경영…업계 선도한다</t>
        </is>
      </c>
      <c r="G76" s="2">
        <f>HYPERLINK("http://www.newsis.com/view/?id=NISX20210521_0001448417&amp;cID=15001&amp;pID=15000", "Go to Website")</f>
        <v/>
      </c>
      <c r="H76" t="inlineStr"/>
      <c r="I76" t="inlineStr">
        <is>
          <t>K64</t>
        </is>
      </c>
      <c r="J76" s="3" t="n">
        <v>1</v>
      </c>
      <c r="K76" t="inlineStr">
        <is>
          <t>금융업</t>
        </is>
      </c>
      <c r="L76" t="inlineStr"/>
      <c r="M76" t="inlineStr"/>
      <c r="N76" t="inlineStr"/>
    </row>
    <row r="77">
      <c r="A77" s="1" t="inlineStr">
        <is>
          <t>2021-05-21</t>
        </is>
      </c>
      <c r="B77" t="inlineStr">
        <is>
          <t>news</t>
        </is>
      </c>
      <c r="C77" t="inlineStr">
        <is>
          <t>economy</t>
        </is>
      </c>
      <c r="D77" t="inlineStr">
        <is>
          <t>파이낸셜뉴스</t>
        </is>
      </c>
      <c r="E77" t="inlineStr"/>
      <c r="F77" t="inlineStr">
        <is>
          <t>굵직한 기업 몰리고 규제에서도 자유로운 충주에 ‘충주 모아미래도’ 6월 분양예정</t>
        </is>
      </c>
      <c r="G77" s="2">
        <f>HYPERLINK("http://www.fnnews.com/news/202105201730046810", "Go to Website")</f>
        <v/>
      </c>
      <c r="H77" t="inlineStr"/>
      <c r="I77" t="inlineStr">
        <is>
          <t>L68</t>
        </is>
      </c>
      <c r="J77" s="3" t="n">
        <v>0.885</v>
      </c>
      <c r="K77" t="inlineStr">
        <is>
          <t>부동산업</t>
        </is>
      </c>
      <c r="L77" t="inlineStr"/>
      <c r="M77" t="inlineStr"/>
      <c r="N77" t="inlineStr"/>
    </row>
    <row r="78">
      <c r="A78" s="1" t="inlineStr">
        <is>
          <t>2021-05-21</t>
        </is>
      </c>
      <c r="B78" t="inlineStr">
        <is>
          <t>news</t>
        </is>
      </c>
      <c r="C78" t="inlineStr">
        <is>
          <t>economy</t>
        </is>
      </c>
      <c r="D78" t="inlineStr">
        <is>
          <t>KBS</t>
        </is>
      </c>
      <c r="E78" t="inlineStr"/>
      <c r="F78" t="inlineStr">
        <is>
          <t>청주시, 친환경 자동차 구매 보조금 추가 지원</t>
        </is>
      </c>
      <c r="G78" s="2">
        <f>HYPERLINK("https://news.kbs.co.kr/news/view.do?ncd=5190816&amp;ref=A", "Go to Website")</f>
        <v/>
      </c>
      <c r="H78" t="inlineStr"/>
      <c r="I78" t="inlineStr">
        <is>
          <t>C30</t>
        </is>
      </c>
      <c r="J78" s="3" t="n">
        <v>0.903</v>
      </c>
      <c r="K78" t="inlineStr">
        <is>
          <t>자동차 및 트레일러 제조업</t>
        </is>
      </c>
      <c r="L78" t="inlineStr"/>
      <c r="M78" t="inlineStr"/>
      <c r="N78" t="inlineStr"/>
    </row>
    <row r="79">
      <c r="A79" s="1" t="inlineStr">
        <is>
          <t>2021-05-21</t>
        </is>
      </c>
      <c r="B79" t="inlineStr">
        <is>
          <t>news</t>
        </is>
      </c>
      <c r="C79" t="inlineStr">
        <is>
          <t>economy</t>
        </is>
      </c>
      <c r="D79" t="inlineStr">
        <is>
          <t>디지털타임스</t>
        </is>
      </c>
      <c r="E79" t="inlineStr">
        <is>
          <t>이윤형</t>
        </is>
      </c>
      <c r="F79" t="inlineStr">
        <is>
          <t>혁신기술 중매자 금융권…스타트업 육성 `지속 발전`에 초점</t>
        </is>
      </c>
      <c r="G79" s="2">
        <f>HYPERLINK("http://www.dt.co.kr/contents.html?article_no=2021052102109963077003", "Go to Website")</f>
        <v/>
      </c>
      <c r="H79" t="inlineStr"/>
      <c r="I79" t="inlineStr">
        <is>
          <t>K64</t>
        </is>
      </c>
      <c r="J79" s="3" t="n">
        <v>0.371</v>
      </c>
      <c r="K79" t="inlineStr">
        <is>
          <t>금융업</t>
        </is>
      </c>
      <c r="L79" t="inlineStr"/>
      <c r="M79" t="inlineStr"/>
      <c r="N79" t="inlineStr"/>
    </row>
    <row r="80">
      <c r="A80" s="1" t="inlineStr">
        <is>
          <t>2021-05-21</t>
        </is>
      </c>
      <c r="B80" t="inlineStr">
        <is>
          <t>news</t>
        </is>
      </c>
      <c r="C80" t="inlineStr">
        <is>
          <t>economy</t>
        </is>
      </c>
      <c r="D80" t="inlineStr">
        <is>
          <t>세계일보</t>
        </is>
      </c>
      <c r="E80" t="inlineStr">
        <is>
          <t>김범수</t>
        </is>
      </c>
      <c r="F80" t="inlineStr">
        <is>
          <t>신한금융 “2030년까지 업무용車 전기·수소차 전환”</t>
        </is>
      </c>
      <c r="G80" s="2">
        <f>HYPERLINK("http://www.segye.com/content/html/2021/05/20/20210520515568.html", "Go to Website")</f>
        <v/>
      </c>
      <c r="H80" t="inlineStr"/>
      <c r="I80" t="inlineStr">
        <is>
          <t>C28</t>
        </is>
      </c>
      <c r="J80" s="3" t="n">
        <v>0.931</v>
      </c>
      <c r="K80" t="inlineStr">
        <is>
          <t>전기장비 제조업</t>
        </is>
      </c>
      <c r="L80" t="inlineStr">
        <is>
          <t>0</t>
        </is>
      </c>
      <c r="M80" s="3" t="n">
        <v>0.957</v>
      </c>
      <c r="N80" t="inlineStr">
        <is>
          <t>중립</t>
        </is>
      </c>
    </row>
    <row r="81">
      <c r="A81" s="1" t="inlineStr">
        <is>
          <t>2021-05-20</t>
        </is>
      </c>
      <c r="B81" t="inlineStr">
        <is>
          <t>news</t>
        </is>
      </c>
      <c r="C81" t="inlineStr">
        <is>
          <t>economy</t>
        </is>
      </c>
      <c r="D81" t="inlineStr">
        <is>
          <t>파이낸셜뉴스</t>
        </is>
      </c>
      <c r="E81" t="inlineStr">
        <is>
          <t>홍예지</t>
        </is>
      </c>
      <c r="F81" t="inlineStr">
        <is>
          <t>한정애 장관, G7 기후·환경 장관회의 참석…韓 첫 초청</t>
        </is>
      </c>
      <c r="G81" s="2">
        <f>HYPERLINK("http://www.fnnews.com/news/202105201909234397", "Go to Website")</f>
        <v/>
      </c>
      <c r="H81" t="inlineStr"/>
      <c r="I81" t="inlineStr">
        <is>
          <t>100</t>
        </is>
      </c>
      <c r="J81" s="3" t="n">
        <v>0.9320000000000001</v>
      </c>
      <c r="K81" t="inlineStr">
        <is>
          <t>분류 제외, 기타</t>
        </is>
      </c>
      <c r="L81" t="inlineStr"/>
      <c r="M81" t="inlineStr"/>
      <c r="N81" t="inlineStr"/>
    </row>
    <row r="82">
      <c r="A82" s="1" t="inlineStr">
        <is>
          <t>2021-05-20</t>
        </is>
      </c>
      <c r="B82" t="inlineStr">
        <is>
          <t>news</t>
        </is>
      </c>
      <c r="C82" t="inlineStr">
        <is>
          <t>tech</t>
        </is>
      </c>
      <c r="D82" t="inlineStr">
        <is>
          <t>ZDNet Korea</t>
        </is>
      </c>
      <c r="E82" t="inlineStr">
        <is>
          <t>박영민</t>
        </is>
      </c>
      <c r="F82" t="inlineStr">
        <is>
          <t>한정애 환경 장관, G7 기후·환경 장관회의 첫 참석</t>
        </is>
      </c>
      <c r="G82" s="2">
        <f>HYPERLINK("https://zdnet.co.kr/view/?no=20210520200320", "Go to Website")</f>
        <v/>
      </c>
      <c r="H82" t="inlineStr"/>
      <c r="I82" t="inlineStr"/>
      <c r="J82" t="inlineStr"/>
      <c r="K82" t="inlineStr"/>
      <c r="L82" t="inlineStr"/>
      <c r="M82" t="inlineStr"/>
      <c r="N82" t="inlineStr"/>
    </row>
    <row r="83">
      <c r="A83" s="1" t="inlineStr">
        <is>
          <t>2021-05-20</t>
        </is>
      </c>
      <c r="B83" t="inlineStr">
        <is>
          <t>news</t>
        </is>
      </c>
      <c r="C83" t="inlineStr">
        <is>
          <t>economy</t>
        </is>
      </c>
      <c r="D83" t="inlineStr">
        <is>
          <t>뉴스1</t>
        </is>
      </c>
      <c r="E83" t="inlineStr">
        <is>
          <t>나혜윤</t>
        </is>
      </c>
      <c r="F83" t="inlineStr">
        <is>
          <t>한정애 "포용적 녹색회복 통한 탄소중립 필요"…G7 기후·환경 장관회의</t>
        </is>
      </c>
      <c r="G83" s="2">
        <f>HYPERLINK("https://www.news1.kr/articles/?4312937", "Go to Website")</f>
        <v/>
      </c>
      <c r="H83" t="inlineStr"/>
      <c r="I83" t="inlineStr">
        <is>
          <t>100</t>
        </is>
      </c>
      <c r="J83" s="3" t="n">
        <v>0.516</v>
      </c>
      <c r="K83" t="inlineStr">
        <is>
          <t>분류 제외, 기타</t>
        </is>
      </c>
      <c r="L83" t="inlineStr"/>
      <c r="M83" t="inlineStr"/>
      <c r="N83" t="inlineStr"/>
    </row>
    <row r="84">
      <c r="A84" s="1" t="inlineStr">
        <is>
          <t>2021-05-20</t>
        </is>
      </c>
      <c r="B84" t="inlineStr">
        <is>
          <t>news</t>
        </is>
      </c>
      <c r="C84" t="inlineStr">
        <is>
          <t>tech</t>
        </is>
      </c>
      <c r="D84" t="inlineStr">
        <is>
          <t>ZDNet Korea</t>
        </is>
      </c>
      <c r="E84" t="inlineStr">
        <is>
          <t>박영민</t>
        </is>
      </c>
      <c r="F84" t="inlineStr">
        <is>
          <t>한정애 환경 장관, G7 기후·환경 장관회의 참석</t>
        </is>
      </c>
      <c r="G84" s="2">
        <f>HYPERLINK("https://zdnet.co.kr/view/?no=20210520172447", "Go to Website")</f>
        <v/>
      </c>
      <c r="H84" t="inlineStr"/>
      <c r="I84" t="inlineStr"/>
      <c r="J84" t="inlineStr"/>
      <c r="K84" t="inlineStr"/>
      <c r="L84" t="inlineStr"/>
      <c r="M84" t="inlineStr"/>
      <c r="N84" t="inlineStr"/>
    </row>
    <row r="85">
      <c r="A85" s="1" t="inlineStr">
        <is>
          <t>2021-05-20</t>
        </is>
      </c>
      <c r="B85" t="inlineStr">
        <is>
          <t>news</t>
        </is>
      </c>
      <c r="C85" t="inlineStr">
        <is>
          <t>economy</t>
        </is>
      </c>
      <c r="D85" t="inlineStr">
        <is>
          <t>뉴스1</t>
        </is>
      </c>
      <c r="E85" t="inlineStr">
        <is>
          <t>나혜윤</t>
        </is>
      </c>
      <c r="F85" t="inlineStr">
        <is>
          <t>한정애 "포용적 녹색회복 통한 탄소중립 필요"…G7 기후·환경 장관회의</t>
        </is>
      </c>
      <c r="G85" s="2">
        <f>HYPERLINK("https://www.news1.kr/articles/?4312731", "Go to Website")</f>
        <v/>
      </c>
      <c r="H85" t="inlineStr"/>
      <c r="I85" t="inlineStr">
        <is>
          <t>100</t>
        </is>
      </c>
      <c r="J85" s="3" t="n">
        <v>0.516</v>
      </c>
      <c r="K85" t="inlineStr">
        <is>
          <t>분류 제외, 기타</t>
        </is>
      </c>
      <c r="L85" t="inlineStr"/>
      <c r="M85" t="inlineStr"/>
      <c r="N85" t="inlineStr"/>
    </row>
    <row r="86">
      <c r="A86" s="1" t="inlineStr">
        <is>
          <t>2021-05-20</t>
        </is>
      </c>
      <c r="B86" t="inlineStr">
        <is>
          <t>news</t>
        </is>
      </c>
      <c r="C86" t="inlineStr">
        <is>
          <t>economy</t>
        </is>
      </c>
      <c r="D86" t="inlineStr">
        <is>
          <t>파이낸셜뉴스</t>
        </is>
      </c>
      <c r="E86" t="inlineStr">
        <is>
          <t>이병철</t>
        </is>
      </c>
      <c r="F86" t="inlineStr">
        <is>
          <t>신한금융, 업무용 차량 6만대 친환경차로</t>
        </is>
      </c>
      <c r="G86" s="2">
        <f>HYPERLINK("http://www.fnnews.com/news/202105201831477776", "Go to Website")</f>
        <v/>
      </c>
      <c r="H86" t="inlineStr"/>
      <c r="I86" t="inlineStr">
        <is>
          <t>K64</t>
        </is>
      </c>
      <c r="J86" s="3" t="n">
        <v>0.909</v>
      </c>
      <c r="K86" t="inlineStr">
        <is>
          <t>금융업</t>
        </is>
      </c>
      <c r="L86" t="inlineStr">
        <is>
          <t>0</t>
        </is>
      </c>
      <c r="M86" s="3" t="n">
        <v>0.848</v>
      </c>
      <c r="N86" t="inlineStr">
        <is>
          <t>중립</t>
        </is>
      </c>
    </row>
    <row r="87">
      <c r="A87" s="1" t="inlineStr">
        <is>
          <t>2021-05-20</t>
        </is>
      </c>
      <c r="B87" t="inlineStr">
        <is>
          <t>news</t>
        </is>
      </c>
      <c r="C87" t="inlineStr">
        <is>
          <t>economy</t>
        </is>
      </c>
      <c r="D87" t="inlineStr">
        <is>
          <t>한국경제TV</t>
        </is>
      </c>
      <c r="E87" t="inlineStr">
        <is>
          <t>신용훈</t>
        </is>
      </c>
      <c r="F87" t="inlineStr">
        <is>
          <t>바이드노믹스 올라탄 한국 기업들 [미리 보는 한미정상회담]</t>
        </is>
      </c>
      <c r="G87" s="2">
        <f>HYPERLINK("https://www.wowtv.co.kr/NewsCenter/News/Read?articleId=A202105200074&amp;t=NNv", "Go to Website")</f>
        <v/>
      </c>
      <c r="H87" t="inlineStr"/>
      <c r="I87" t="inlineStr">
        <is>
          <t>100</t>
        </is>
      </c>
      <c r="J87" s="3" t="n">
        <v>0.93</v>
      </c>
      <c r="K87" t="inlineStr">
        <is>
          <t>분류 제외, 기타</t>
        </is>
      </c>
      <c r="L87" t="inlineStr"/>
      <c r="M87" t="inlineStr"/>
      <c r="N87" t="inlineStr"/>
    </row>
    <row r="88">
      <c r="A88" s="1" t="inlineStr">
        <is>
          <t>2021-05-20</t>
        </is>
      </c>
      <c r="B88" t="inlineStr">
        <is>
          <t>news</t>
        </is>
      </c>
      <c r="C88" t="inlineStr">
        <is>
          <t>economy</t>
        </is>
      </c>
      <c r="D88" t="inlineStr">
        <is>
          <t>뉴스1</t>
        </is>
      </c>
      <c r="E88" t="inlineStr">
        <is>
          <t>국종환</t>
        </is>
      </c>
      <c r="F88" t="inlineStr">
        <is>
          <t>신한금융, 2030년까지 업무용 차 6.3만대 무공해차로 100% 교체</t>
        </is>
      </c>
      <c r="G88" s="2">
        <f>HYPERLINK("https://www.news1.kr/articles/?4312750", "Go to Website")</f>
        <v/>
      </c>
      <c r="H88" t="inlineStr"/>
      <c r="I88" t="inlineStr">
        <is>
          <t>C28</t>
        </is>
      </c>
      <c r="J88" s="3" t="n">
        <v>0.7</v>
      </c>
      <c r="K88" t="inlineStr">
        <is>
          <t>전기장비 제조업</t>
        </is>
      </c>
      <c r="L88" t="inlineStr">
        <is>
          <t>0</t>
        </is>
      </c>
      <c r="M88" s="3" t="n">
        <v>0.98</v>
      </c>
      <c r="N88" t="inlineStr">
        <is>
          <t>중립</t>
        </is>
      </c>
    </row>
    <row r="89">
      <c r="A89" s="1" t="inlineStr">
        <is>
          <t>2021-05-20</t>
        </is>
      </c>
      <c r="B89" t="inlineStr">
        <is>
          <t>news</t>
        </is>
      </c>
      <c r="C89" t="inlineStr">
        <is>
          <t>economy</t>
        </is>
      </c>
      <c r="D89" t="inlineStr">
        <is>
          <t>한국경제</t>
        </is>
      </c>
      <c r="E89" t="inlineStr"/>
      <c r="F89" t="inlineStr">
        <is>
          <t>신한금융, 업무용차 전기·수소차 교체</t>
        </is>
      </c>
      <c r="G89" s="2">
        <f>HYPERLINK("https://www.hankyung.com/economy/article/2021052028111", "Go to Website")</f>
        <v/>
      </c>
      <c r="H89" t="inlineStr"/>
      <c r="I89" t="inlineStr">
        <is>
          <t>100</t>
        </is>
      </c>
      <c r="J89" s="3" t="n">
        <v>0.527</v>
      </c>
      <c r="K89" t="inlineStr">
        <is>
          <t>분류 제외, 기타</t>
        </is>
      </c>
      <c r="L89" t="inlineStr"/>
      <c r="M89" t="inlineStr"/>
      <c r="N89" t="inlineStr"/>
    </row>
    <row r="90">
      <c r="A90" s="1" t="inlineStr">
        <is>
          <t>2021-05-20</t>
        </is>
      </c>
      <c r="B90" t="inlineStr">
        <is>
          <t>news</t>
        </is>
      </c>
      <c r="C90" t="inlineStr">
        <is>
          <t>economy</t>
        </is>
      </c>
      <c r="D90" t="inlineStr">
        <is>
          <t>매일경제</t>
        </is>
      </c>
      <c r="E90" t="inlineStr">
        <is>
          <t>최근도</t>
        </is>
      </c>
      <c r="F90" t="inlineStr">
        <is>
          <t>수소부터 배터리까지…롯데케미칼 친환경 박차</t>
        </is>
      </c>
      <c r="G90" s="2">
        <f>HYPERLINK("http://news.mk.co.kr/newsRead.php?no=487884&amp;year=2021", "Go to Website")</f>
        <v/>
      </c>
      <c r="H90" t="inlineStr"/>
      <c r="I90" t="inlineStr">
        <is>
          <t>C20</t>
        </is>
      </c>
      <c r="J90" s="3" t="n">
        <v>1</v>
      </c>
      <c r="K90" t="inlineStr">
        <is>
          <t>화학 물질 및 화학제품 제조업; 의약품 제외</t>
        </is>
      </c>
      <c r="L90" t="inlineStr">
        <is>
          <t>1</t>
        </is>
      </c>
      <c r="M90" s="3" t="n">
        <v>0.969</v>
      </c>
      <c r="N90" t="inlineStr">
        <is>
          <t>긍정</t>
        </is>
      </c>
    </row>
    <row r="91">
      <c r="A91" s="1" t="inlineStr">
        <is>
          <t>2021-05-20</t>
        </is>
      </c>
      <c r="B91" t="inlineStr">
        <is>
          <t>news</t>
        </is>
      </c>
      <c r="C91" t="inlineStr">
        <is>
          <t>economy</t>
        </is>
      </c>
      <c r="D91" t="inlineStr">
        <is>
          <t>머니S</t>
        </is>
      </c>
      <c r="E91" t="inlineStr">
        <is>
          <t>강한빛</t>
        </is>
      </c>
      <c r="F91" t="inlineStr">
        <is>
          <t>신한금융 "업무용 차량 무공해로 전부 교체"…  ESG경영 강화</t>
        </is>
      </c>
      <c r="G91" s="2">
        <f>HYPERLINK("http://moneys.mt.co.kr/news/mwView.php?no=2021052016498051665", "Go to Website")</f>
        <v/>
      </c>
      <c r="H91" t="inlineStr"/>
      <c r="I91" t="inlineStr">
        <is>
          <t>K64</t>
        </is>
      </c>
      <c r="J91" s="3" t="n">
        <v>0.696</v>
      </c>
      <c r="K91" t="inlineStr">
        <is>
          <t>금융업</t>
        </is>
      </c>
      <c r="L91" t="inlineStr">
        <is>
          <t>0</t>
        </is>
      </c>
      <c r="M91" s="3" t="n">
        <v>0.995</v>
      </c>
      <c r="N91" t="inlineStr">
        <is>
          <t>중립</t>
        </is>
      </c>
    </row>
    <row r="92">
      <c r="A92" s="1" t="inlineStr">
        <is>
          <t>2021-05-20</t>
        </is>
      </c>
      <c r="B92" t="inlineStr">
        <is>
          <t>news</t>
        </is>
      </c>
      <c r="C92" t="inlineStr">
        <is>
          <t>tech</t>
        </is>
      </c>
      <c r="D92" t="inlineStr">
        <is>
          <t>파이낸셜뉴스</t>
        </is>
      </c>
      <c r="E92" t="inlineStr"/>
      <c r="F92" t="inlineStr">
        <is>
          <t>자동차관리 종합 서비스 플랫폼 ‘프롬카’, 정비소 연결부터 매매까지 다양한 서비스 제공</t>
        </is>
      </c>
      <c r="G92" s="2">
        <f>HYPERLINK("http://www.fnnews.com/news/202105201600540792", "Go to Website")</f>
        <v/>
      </c>
      <c r="H92" t="inlineStr"/>
      <c r="I92" t="inlineStr"/>
      <c r="J92" t="inlineStr"/>
      <c r="K92" t="inlineStr"/>
      <c r="L92" t="inlineStr"/>
      <c r="M92" t="inlineStr"/>
      <c r="N92" t="inlineStr"/>
    </row>
    <row r="93">
      <c r="A93" s="1" t="inlineStr">
        <is>
          <t>2021-05-20</t>
        </is>
      </c>
      <c r="B93" t="inlineStr">
        <is>
          <t>news</t>
        </is>
      </c>
      <c r="C93" t="inlineStr">
        <is>
          <t>economy</t>
        </is>
      </c>
      <c r="D93" t="inlineStr">
        <is>
          <t>더팩트</t>
        </is>
      </c>
      <c r="E93" t="inlineStr"/>
      <c r="F93" t="inlineStr">
        <is>
          <t>신한금융, 2030년까지 업무용 車 6만여대 무공해차로 교체</t>
        </is>
      </c>
      <c r="G93" s="2">
        <f>HYPERLINK("http://news.tf.co.kr/read/economy/1862323.htm", "Go to Website")</f>
        <v/>
      </c>
      <c r="H93" t="inlineStr"/>
      <c r="I93" t="inlineStr">
        <is>
          <t>C28</t>
        </is>
      </c>
      <c r="J93" s="3" t="n">
        <v>0.986</v>
      </c>
      <c r="K93" t="inlineStr">
        <is>
          <t>전기장비 제조업</t>
        </is>
      </c>
      <c r="L93" t="inlineStr">
        <is>
          <t>0</t>
        </is>
      </c>
      <c r="M93" s="3" t="n">
        <v>0.989</v>
      </c>
      <c r="N93" t="inlineStr">
        <is>
          <t>중립</t>
        </is>
      </c>
    </row>
    <row r="94">
      <c r="A94" s="1" t="inlineStr">
        <is>
          <t>2021-05-20</t>
        </is>
      </c>
      <c r="B94" t="inlineStr">
        <is>
          <t>news</t>
        </is>
      </c>
      <c r="C94" t="inlineStr">
        <is>
          <t>economy</t>
        </is>
      </c>
      <c r="D94" t="inlineStr">
        <is>
          <t>머니S</t>
        </is>
      </c>
      <c r="E94" t="inlineStr">
        <is>
          <t>강한빛</t>
        </is>
      </c>
      <c r="F94" t="inlineStr">
        <is>
          <t>세람저축은행, '착한운전 정기적금' 출시… "ESG경영 일환"</t>
        </is>
      </c>
      <c r="G94" s="2">
        <f>HYPERLINK("http://moneys.mt.co.kr/news/mwView.php?no=2021052015538083751", "Go to Website")</f>
        <v/>
      </c>
      <c r="H94" t="inlineStr"/>
      <c r="I94" t="inlineStr">
        <is>
          <t>K64</t>
        </is>
      </c>
      <c r="J94" s="3" t="n">
        <v>1</v>
      </c>
      <c r="K94" t="inlineStr">
        <is>
          <t>금융업</t>
        </is>
      </c>
      <c r="L94" t="inlineStr"/>
      <c r="M94" t="inlineStr"/>
      <c r="N94" t="inlineStr"/>
    </row>
    <row r="95">
      <c r="A95" s="1" t="inlineStr">
        <is>
          <t>2021-05-20</t>
        </is>
      </c>
      <c r="B95" t="inlineStr">
        <is>
          <t>news</t>
        </is>
      </c>
      <c r="C95" t="inlineStr">
        <is>
          <t>economy</t>
        </is>
      </c>
      <c r="D95" t="inlineStr">
        <is>
          <t>한국경제TV</t>
        </is>
      </c>
      <c r="E95" t="inlineStr">
        <is>
          <t>김보미</t>
        </is>
      </c>
      <c r="F95" t="inlineStr">
        <is>
          <t>조용병 회장의 선도하는 ESG경영…"업무용 차량을 무공해차로"</t>
        </is>
      </c>
      <c r="G95" s="2">
        <f>HYPERLINK("http://www.wowtv.co.kr/NewsCenter/News/Read?articleId=A202105200314&amp;t=NN", "Go to Website")</f>
        <v/>
      </c>
      <c r="H95" t="inlineStr"/>
      <c r="I95" t="inlineStr">
        <is>
          <t>K64</t>
        </is>
      </c>
      <c r="J95" s="3" t="n">
        <v>0.983</v>
      </c>
      <c r="K95" t="inlineStr">
        <is>
          <t>금융업</t>
        </is>
      </c>
      <c r="L95" t="inlineStr">
        <is>
          <t>0</t>
        </is>
      </c>
      <c r="M95" s="3" t="n">
        <v>0.983</v>
      </c>
      <c r="N95" t="inlineStr">
        <is>
          <t>중립</t>
        </is>
      </c>
    </row>
    <row r="96">
      <c r="A96" s="1" t="inlineStr">
        <is>
          <t>2021-05-20</t>
        </is>
      </c>
      <c r="B96" t="inlineStr">
        <is>
          <t>news</t>
        </is>
      </c>
      <c r="C96" t="inlineStr">
        <is>
          <t>economy</t>
        </is>
      </c>
      <c r="D96" t="inlineStr">
        <is>
          <t>파이낸셜뉴스</t>
        </is>
      </c>
      <c r="E96" t="inlineStr">
        <is>
          <t>이병철</t>
        </is>
      </c>
      <c r="F96" t="inlineStr">
        <is>
          <t>신한금융, 업무용 차량 6만여대 친환경차로 교체</t>
        </is>
      </c>
      <c r="G96" s="2">
        <f>HYPERLINK("http://www.fnnews.com/news/202105201524024743", "Go to Website")</f>
        <v/>
      </c>
      <c r="H96" t="inlineStr"/>
      <c r="I96" t="inlineStr">
        <is>
          <t>K64</t>
        </is>
      </c>
      <c r="J96" s="3" t="n">
        <v>0.994</v>
      </c>
      <c r="K96" t="inlineStr">
        <is>
          <t>금융업</t>
        </is>
      </c>
      <c r="L96" t="inlineStr">
        <is>
          <t>0</t>
        </is>
      </c>
      <c r="M96" s="3" t="n">
        <v>0.966</v>
      </c>
      <c r="N96" t="inlineStr">
        <is>
          <t>중립</t>
        </is>
      </c>
    </row>
    <row r="97">
      <c r="A97" s="1" t="inlineStr">
        <is>
          <t>2021-05-20</t>
        </is>
      </c>
      <c r="B97" t="inlineStr">
        <is>
          <t>news</t>
        </is>
      </c>
      <c r="C97" t="inlineStr">
        <is>
          <t>economy</t>
        </is>
      </c>
      <c r="D97" t="inlineStr">
        <is>
          <t>매일신문</t>
        </is>
      </c>
      <c r="E97" t="inlineStr">
        <is>
          <t>김윤기</t>
        </is>
      </c>
      <c r="F97" t="inlineStr">
        <is>
          <t>"변해야 산다", 대구기업 미래산업으로 재편 움직임 활발</t>
        </is>
      </c>
      <c r="G97" s="2">
        <f>HYPERLINK("https://news.imaeil.com/Economy/2021052015163489144", "Go to Website")</f>
        <v/>
      </c>
      <c r="H97" t="inlineStr"/>
      <c r="I97" t="inlineStr">
        <is>
          <t>100</t>
        </is>
      </c>
      <c r="J97" s="3" t="n">
        <v>0.655</v>
      </c>
      <c r="K97" t="inlineStr">
        <is>
          <t>분류 제외, 기타</t>
        </is>
      </c>
      <c r="L97" t="inlineStr">
        <is>
          <t>0</t>
        </is>
      </c>
      <c r="M97" s="3" t="n">
        <v>0.997</v>
      </c>
      <c r="N97" t="inlineStr">
        <is>
          <t>중립</t>
        </is>
      </c>
    </row>
    <row r="98">
      <c r="A98" s="1" t="inlineStr">
        <is>
          <t>2021-05-20</t>
        </is>
      </c>
      <c r="B98" t="inlineStr">
        <is>
          <t>news</t>
        </is>
      </c>
      <c r="C98" t="inlineStr">
        <is>
          <t>economy</t>
        </is>
      </c>
      <c r="D98" t="inlineStr">
        <is>
          <t>전자신문</t>
        </is>
      </c>
      <c r="E98" t="inlineStr">
        <is>
          <t>배옥진</t>
        </is>
      </c>
      <c r="F98" t="inlineStr">
        <is>
          <t>신한금융 '제로카본·제로퓨얼' 선언</t>
        </is>
      </c>
      <c r="G98" s="2">
        <f>HYPERLINK("http://www.etnews.com/20210520000193", "Go to Website")</f>
        <v/>
      </c>
      <c r="H98" t="inlineStr"/>
      <c r="I98" t="inlineStr">
        <is>
          <t>C28</t>
        </is>
      </c>
      <c r="J98" s="3" t="n">
        <v>0.974</v>
      </c>
      <c r="K98" t="inlineStr">
        <is>
          <t>전기장비 제조업</t>
        </is>
      </c>
      <c r="L98" t="inlineStr">
        <is>
          <t>0</t>
        </is>
      </c>
      <c r="M98" s="3" t="n">
        <v>0.969</v>
      </c>
      <c r="N98" t="inlineStr">
        <is>
          <t>중립</t>
        </is>
      </c>
    </row>
    <row r="99">
      <c r="A99" s="1" t="inlineStr">
        <is>
          <t>2021-05-20</t>
        </is>
      </c>
      <c r="B99" t="inlineStr">
        <is>
          <t>news</t>
        </is>
      </c>
      <c r="C99" t="inlineStr">
        <is>
          <t>economy</t>
        </is>
      </c>
      <c r="D99" t="inlineStr">
        <is>
          <t>서울경제</t>
        </is>
      </c>
      <c r="E99" t="inlineStr">
        <is>
          <t>김광수</t>
        </is>
      </c>
      <c r="F99" t="inlineStr">
        <is>
          <t>신한금융, 2030년까지 모든 업무용車 ‘친환경’으로</t>
        </is>
      </c>
      <c r="G99" s="2">
        <f>HYPERLINK("https://www.sedaily.com/NewsView/22MFMZ875T", "Go to Website")</f>
        <v/>
      </c>
      <c r="H99" t="inlineStr"/>
      <c r="I99" t="inlineStr">
        <is>
          <t>C28</t>
        </is>
      </c>
      <c r="J99" s="3" t="n">
        <v>0.986</v>
      </c>
      <c r="K99" t="inlineStr">
        <is>
          <t>전기장비 제조업</t>
        </is>
      </c>
      <c r="L99" t="inlineStr">
        <is>
          <t>0</t>
        </is>
      </c>
      <c r="M99" s="3" t="n">
        <v>0.955</v>
      </c>
      <c r="N99" t="inlineStr">
        <is>
          <t>중립</t>
        </is>
      </c>
    </row>
    <row r="100">
      <c r="A100" s="1" t="inlineStr">
        <is>
          <t>2021-05-20</t>
        </is>
      </c>
      <c r="B100" t="inlineStr">
        <is>
          <t>news</t>
        </is>
      </c>
      <c r="C100" t="inlineStr">
        <is>
          <t>economy</t>
        </is>
      </c>
      <c r="D100" t="inlineStr">
        <is>
          <t>한겨레</t>
        </is>
      </c>
      <c r="E100" t="inlineStr">
        <is>
          <t>이경미</t>
        </is>
      </c>
      <c r="F100" t="inlineStr">
        <is>
          <t>신한금융, 2030년까지 모든 업무용 차량 전기·수소차로 전환</t>
        </is>
      </c>
      <c r="G100" s="2">
        <f>HYPERLINK("http://www.hani.co.kr/arti/economy/finance/995965.html", "Go to Website")</f>
        <v/>
      </c>
      <c r="H100" t="inlineStr"/>
      <c r="I100" t="inlineStr">
        <is>
          <t>C28</t>
        </is>
      </c>
      <c r="J100" s="3" t="n">
        <v>0.76</v>
      </c>
      <c r="K100" t="inlineStr">
        <is>
          <t>전기장비 제조업</t>
        </is>
      </c>
      <c r="L100" t="inlineStr">
        <is>
          <t>0</t>
        </is>
      </c>
      <c r="M100" s="3" t="n">
        <v>0.9350000000000001</v>
      </c>
      <c r="N100" t="inlineStr">
        <is>
          <t>중립</t>
        </is>
      </c>
    </row>
    <row r="101">
      <c r="A101" s="1" t="inlineStr">
        <is>
          <t>2021-05-20</t>
        </is>
      </c>
      <c r="B101" t="inlineStr">
        <is>
          <t>news</t>
        </is>
      </c>
      <c r="C101" t="inlineStr">
        <is>
          <t>economy</t>
        </is>
      </c>
      <c r="D101" t="inlineStr">
        <is>
          <t>헤럴드경제</t>
        </is>
      </c>
      <c r="E101" t="inlineStr">
        <is>
          <t>홍승희</t>
        </is>
      </c>
      <c r="F101" t="inlineStr">
        <is>
          <t>신한금융, 2030년까지 모든 업무용 차량 무공해차로</t>
        </is>
      </c>
      <c r="G101" s="2">
        <f>HYPERLINK("http://news.heraldcorp.com/view.php?ud=20210520000716", "Go to Website")</f>
        <v/>
      </c>
      <c r="H101" t="inlineStr"/>
      <c r="I101" t="inlineStr">
        <is>
          <t>C28</t>
        </is>
      </c>
      <c r="J101" s="3" t="n">
        <v>0.924</v>
      </c>
      <c r="K101" t="inlineStr">
        <is>
          <t>전기장비 제조업</t>
        </is>
      </c>
      <c r="L101" t="inlineStr">
        <is>
          <t>0</t>
        </is>
      </c>
      <c r="M101" s="3" t="n">
        <v>0.997</v>
      </c>
      <c r="N101" t="inlineStr">
        <is>
          <t>중립</t>
        </is>
      </c>
    </row>
    <row r="102">
      <c r="A102" s="1" t="inlineStr">
        <is>
          <t>2021-05-20</t>
        </is>
      </c>
      <c r="B102" t="inlineStr">
        <is>
          <t>news</t>
        </is>
      </c>
      <c r="C102" t="inlineStr">
        <is>
          <t>economy</t>
        </is>
      </c>
      <c r="D102" t="inlineStr">
        <is>
          <t>조세일보</t>
        </is>
      </c>
      <c r="E102" t="inlineStr"/>
      <c r="F102" t="inlineStr">
        <is>
          <t>신한금융그룹, Zero Carbon·Zero Fuel 선언</t>
        </is>
      </c>
      <c r="G102" s="2">
        <f>HYPERLINK("http://www.joseilbo.com/news/news_read.php?uid=424058&amp;class=51", "Go to Website")</f>
        <v/>
      </c>
      <c r="H102" t="inlineStr"/>
      <c r="I102" t="inlineStr">
        <is>
          <t>C28</t>
        </is>
      </c>
      <c r="J102" s="3" t="n">
        <v>0.775</v>
      </c>
      <c r="K102" t="inlineStr">
        <is>
          <t>전기장비 제조업</t>
        </is>
      </c>
      <c r="L102" t="inlineStr">
        <is>
          <t>0</t>
        </is>
      </c>
      <c r="M102" s="3" t="n">
        <v>0.988</v>
      </c>
      <c r="N102" t="inlineStr">
        <is>
          <t>중립</t>
        </is>
      </c>
    </row>
    <row r="103">
      <c r="A103" s="1" t="inlineStr">
        <is>
          <t>2021-05-20</t>
        </is>
      </c>
      <c r="B103" t="inlineStr">
        <is>
          <t>news</t>
        </is>
      </c>
      <c r="C103" t="inlineStr">
        <is>
          <t>tech</t>
        </is>
      </c>
      <c r="D103" t="inlineStr">
        <is>
          <t>ZDNet Korea</t>
        </is>
      </c>
      <c r="E103" t="inlineStr">
        <is>
          <t>손예술</t>
        </is>
      </c>
      <c r="F103" t="inlineStr">
        <is>
          <t>신한금융, 2030년까지 무공해차로 업무용 차량 100% 전환</t>
        </is>
      </c>
      <c r="G103" s="2">
        <f>HYPERLINK("https://zdnet.co.kr/view/?no=20210520135340", "Go to Website")</f>
        <v/>
      </c>
      <c r="H103" t="inlineStr"/>
      <c r="I103" t="inlineStr"/>
      <c r="J103" t="inlineStr"/>
      <c r="K103" t="inlineStr"/>
      <c r="L103" t="inlineStr"/>
      <c r="M103" t="inlineStr"/>
      <c r="N103" t="inlineStr"/>
    </row>
    <row r="104">
      <c r="A104" s="1" t="inlineStr">
        <is>
          <t>2021-05-20</t>
        </is>
      </c>
      <c r="B104" t="inlineStr">
        <is>
          <t>news</t>
        </is>
      </c>
      <c r="C104" t="inlineStr">
        <is>
          <t>economy</t>
        </is>
      </c>
      <c r="D104" t="inlineStr">
        <is>
          <t>한국경제</t>
        </is>
      </c>
      <c r="E104" t="inlineStr">
        <is>
          <t>오경묵</t>
        </is>
      </c>
      <c r="F104" t="inlineStr">
        <is>
          <t>산업부 사업재편 승인기업 전국 36개사 중 대구 기업 7개</t>
        </is>
      </c>
      <c r="G104" s="2">
        <f>HYPERLINK("https://www.hankyung.com/economy/article/202105201390h", "Go to Website")</f>
        <v/>
      </c>
      <c r="H104" t="inlineStr"/>
      <c r="I104" t="inlineStr">
        <is>
          <t>100</t>
        </is>
      </c>
      <c r="J104" s="3" t="n">
        <v>0.925</v>
      </c>
      <c r="K104" t="inlineStr">
        <is>
          <t>분류 제외, 기타</t>
        </is>
      </c>
      <c r="L104" t="inlineStr"/>
      <c r="M104" t="inlineStr"/>
      <c r="N104" t="inlineStr"/>
    </row>
    <row r="105">
      <c r="A105" s="1" t="inlineStr">
        <is>
          <t>2021-05-20</t>
        </is>
      </c>
      <c r="B105" t="inlineStr">
        <is>
          <t>news</t>
        </is>
      </c>
      <c r="C105" t="inlineStr">
        <is>
          <t>economy</t>
        </is>
      </c>
      <c r="D105" t="inlineStr">
        <is>
          <t>아시아경제</t>
        </is>
      </c>
      <c r="E105" t="inlineStr">
        <is>
          <t>이광호</t>
        </is>
      </c>
      <c r="F105" t="inlineStr">
        <is>
          <t>신한금융, '제로카본·제로퓨얼' 선언…업무용 車 6만여대 전기·수소車 전환</t>
        </is>
      </c>
      <c r="G105" s="2">
        <f>HYPERLINK("https://view.asiae.co.kr/article/2021052010074795170", "Go to Website")</f>
        <v/>
      </c>
      <c r="H105" t="inlineStr"/>
      <c r="I105" t="inlineStr">
        <is>
          <t>C20</t>
        </is>
      </c>
      <c r="J105" s="3" t="n">
        <v>0.549</v>
      </c>
      <c r="K105" t="inlineStr">
        <is>
          <t>화학 물질 및 화학제품 제조업; 의약품 제외</t>
        </is>
      </c>
      <c r="L105" t="inlineStr">
        <is>
          <t>0</t>
        </is>
      </c>
      <c r="M105" s="3" t="n">
        <v>0.732</v>
      </c>
      <c r="N105" t="inlineStr">
        <is>
          <t>중립</t>
        </is>
      </c>
    </row>
    <row r="106">
      <c r="A106" s="1" t="inlineStr">
        <is>
          <t>2021-05-20</t>
        </is>
      </c>
      <c r="B106" t="inlineStr">
        <is>
          <t>news</t>
        </is>
      </c>
      <c r="C106" t="inlineStr">
        <is>
          <t>economy</t>
        </is>
      </c>
      <c r="D106" t="inlineStr">
        <is>
          <t>경향신문</t>
        </is>
      </c>
      <c r="E106" t="inlineStr">
        <is>
          <t>정원식</t>
        </is>
      </c>
      <c r="F106" t="inlineStr">
        <is>
          <t>신한금융, 2030년까지 업무용 차량 6만여대 친환경 차량으로 전환</t>
        </is>
      </c>
      <c r="G106" s="2">
        <f>HYPERLINK("http://news.khan.co.kr/kh_news/khan_art_view.html?artid=202105201324001&amp;code=920100", "Go to Website")</f>
        <v/>
      </c>
      <c r="H106" t="inlineStr"/>
      <c r="I106" t="inlineStr">
        <is>
          <t>C28</t>
        </is>
      </c>
      <c r="J106" s="3" t="n">
        <v>0.606</v>
      </c>
      <c r="K106" t="inlineStr">
        <is>
          <t>전기장비 제조업</t>
        </is>
      </c>
      <c r="L106" t="inlineStr">
        <is>
          <t>0</t>
        </is>
      </c>
      <c r="M106" s="3" t="n">
        <v>0.945</v>
      </c>
      <c r="N106" t="inlineStr">
        <is>
          <t>중립</t>
        </is>
      </c>
    </row>
    <row r="107">
      <c r="A107" s="1" t="inlineStr">
        <is>
          <t>2021-05-20</t>
        </is>
      </c>
      <c r="B107" t="inlineStr">
        <is>
          <t>news</t>
        </is>
      </c>
      <c r="C107" t="inlineStr">
        <is>
          <t>economy</t>
        </is>
      </c>
      <c r="D107" t="inlineStr">
        <is>
          <t>아시아경제</t>
        </is>
      </c>
      <c r="E107" t="inlineStr">
        <is>
          <t>김보경</t>
        </is>
      </c>
      <c r="F107" t="inlineStr">
        <is>
          <t>미래차 신규부품 개발 '티앤지'…"글로벌 파트너사 도약"</t>
        </is>
      </c>
      <c r="G107" s="2">
        <f>HYPERLINK("https://view.asiae.co.kr/article/2021052013131201308", "Go to Website")</f>
        <v/>
      </c>
      <c r="H107" t="inlineStr"/>
      <c r="I107" t="inlineStr">
        <is>
          <t>J58</t>
        </is>
      </c>
      <c r="J107" s="3" t="n">
        <v>0.85</v>
      </c>
      <c r="K107" t="inlineStr">
        <is>
          <t>출판업</t>
        </is>
      </c>
      <c r="L107" t="inlineStr"/>
      <c r="M107" t="inlineStr"/>
      <c r="N107" t="inlineStr"/>
    </row>
    <row r="108">
      <c r="A108" s="1" t="inlineStr">
        <is>
          <t>2021-05-20</t>
        </is>
      </c>
      <c r="B108" t="inlineStr">
        <is>
          <t>news</t>
        </is>
      </c>
      <c r="C108" t="inlineStr">
        <is>
          <t>economy</t>
        </is>
      </c>
      <c r="D108" t="inlineStr">
        <is>
          <t>데일리안</t>
        </is>
      </c>
      <c r="E108" t="inlineStr">
        <is>
          <t>이호연</t>
        </is>
      </c>
      <c r="F108" t="inlineStr">
        <is>
          <t>신한금융, 2030년까지 업무차 6만여대 무공해차 전면교체</t>
        </is>
      </c>
      <c r="G108" s="2">
        <f>HYPERLINK("https://www.dailian.co.kr/news/view/993068/", "Go to Website")</f>
        <v/>
      </c>
      <c r="H108" t="inlineStr"/>
      <c r="I108" t="inlineStr">
        <is>
          <t>C28</t>
        </is>
      </c>
      <c r="J108" s="3" t="n">
        <v>0.514</v>
      </c>
      <c r="K108" t="inlineStr">
        <is>
          <t>전기장비 제조업</t>
        </is>
      </c>
      <c r="L108" t="inlineStr">
        <is>
          <t>0</t>
        </is>
      </c>
      <c r="M108" s="3" t="n">
        <v>0.994</v>
      </c>
      <c r="N108" t="inlineStr">
        <is>
          <t>중립</t>
        </is>
      </c>
    </row>
    <row r="109">
      <c r="A109" s="1" t="inlineStr">
        <is>
          <t>2021-05-20</t>
        </is>
      </c>
      <c r="B109" t="inlineStr">
        <is>
          <t>news</t>
        </is>
      </c>
      <c r="C109" t="inlineStr">
        <is>
          <t>economy</t>
        </is>
      </c>
      <c r="D109" t="inlineStr">
        <is>
          <t>조선비즈</t>
        </is>
      </c>
      <c r="E109" t="inlineStr">
        <is>
          <t>이경탁</t>
        </is>
      </c>
      <c r="F109" t="inlineStr">
        <is>
          <t>신한금융, 2030년까지 업무용차 6만여대 전기·수소차로 전환</t>
        </is>
      </c>
      <c r="G109" s="2">
        <f>HYPERLINK("https://biz.chosun.com/stock/finance/2021/05/20/L7AFABEGDBCDZAXJR4OVKLMBAI/?utm_medium=original&amp;utm_campaign=biz", "Go to Website")</f>
        <v/>
      </c>
      <c r="H109" t="inlineStr"/>
      <c r="I109" t="inlineStr">
        <is>
          <t>C28</t>
        </is>
      </c>
      <c r="J109" s="3" t="n">
        <v>1</v>
      </c>
      <c r="K109" t="inlineStr">
        <is>
          <t>전기장비 제조업</t>
        </is>
      </c>
      <c r="L109" t="inlineStr">
        <is>
          <t>1</t>
        </is>
      </c>
      <c r="M109" s="3" t="n">
        <v>0.522</v>
      </c>
      <c r="N109" t="inlineStr">
        <is>
          <t>긍정</t>
        </is>
      </c>
    </row>
    <row r="110">
      <c r="A110" s="1" t="inlineStr">
        <is>
          <t>2021-05-20</t>
        </is>
      </c>
      <c r="B110" t="inlineStr">
        <is>
          <t>news</t>
        </is>
      </c>
      <c r="C110" t="inlineStr">
        <is>
          <t>economy</t>
        </is>
      </c>
      <c r="D110" t="inlineStr">
        <is>
          <t>이데일리</t>
        </is>
      </c>
      <c r="E110" t="inlineStr">
        <is>
          <t>이진철</t>
        </is>
      </c>
      <c r="F110" t="inlineStr">
        <is>
          <t>조용병 신한금융 회장, '제로카본·제로퓨얼' 선언</t>
        </is>
      </c>
      <c r="G110" s="2">
        <f>HYPERLINK("http://www.edaily.co.kr/news/newspath.asp?newsid=02420646629050888", "Go to Website")</f>
        <v/>
      </c>
      <c r="H110" t="inlineStr"/>
      <c r="I110" t="inlineStr">
        <is>
          <t>C28</t>
        </is>
      </c>
      <c r="J110" s="3" t="n">
        <v>0.975</v>
      </c>
      <c r="K110" t="inlineStr">
        <is>
          <t>전기장비 제조업</t>
        </is>
      </c>
      <c r="L110" t="inlineStr">
        <is>
          <t>0</t>
        </is>
      </c>
      <c r="M110" s="3" t="n">
        <v>0.987</v>
      </c>
      <c r="N110" t="inlineStr">
        <is>
          <t>중립</t>
        </is>
      </c>
    </row>
    <row r="111">
      <c r="A111" s="1" t="inlineStr">
        <is>
          <t>2021-05-20</t>
        </is>
      </c>
      <c r="B111" t="inlineStr">
        <is>
          <t>news</t>
        </is>
      </c>
      <c r="C111" t="inlineStr">
        <is>
          <t>economy</t>
        </is>
      </c>
      <c r="D111" t="inlineStr">
        <is>
          <t>머니투데이</t>
        </is>
      </c>
      <c r="E111" t="inlineStr">
        <is>
          <t>김지산</t>
        </is>
      </c>
      <c r="F111" t="inlineStr">
        <is>
          <t>신한금융, 2030년까지 업무車 6.3만대 무공해차로 전면교체</t>
        </is>
      </c>
      <c r="G111" s="2">
        <f>HYPERLINK("http://news.mt.co.kr/mtview.php?no=2021052011381276134", "Go to Website")</f>
        <v/>
      </c>
      <c r="H111" t="inlineStr"/>
      <c r="I111" t="inlineStr">
        <is>
          <t>K64</t>
        </is>
      </c>
      <c r="J111" s="3" t="n">
        <v>0.98</v>
      </c>
      <c r="K111" t="inlineStr">
        <is>
          <t>금융업</t>
        </is>
      </c>
      <c r="L111" t="inlineStr">
        <is>
          <t>0</t>
        </is>
      </c>
      <c r="M111" s="3" t="n">
        <v>0.985</v>
      </c>
      <c r="N111" t="inlineStr">
        <is>
          <t>중립</t>
        </is>
      </c>
    </row>
    <row r="112">
      <c r="A112" s="1" t="inlineStr">
        <is>
          <t>2021-05-20</t>
        </is>
      </c>
      <c r="B112" t="inlineStr">
        <is>
          <t>news</t>
        </is>
      </c>
      <c r="C112" t="inlineStr">
        <is>
          <t>economy</t>
        </is>
      </c>
      <c r="D112" t="inlineStr">
        <is>
          <t>연합뉴스</t>
        </is>
      </c>
      <c r="E112" t="inlineStr">
        <is>
          <t>신호경</t>
        </is>
      </c>
      <c r="F112" t="inlineStr">
        <is>
          <t>신한금융, 2030년까지 업무용 차량 무공해차로 바꾼다</t>
        </is>
      </c>
      <c r="G112" s="2">
        <f>HYPERLINK("http://yna.kr/AKR20210520077400002?did=1195m", "Go to Website")</f>
        <v/>
      </c>
      <c r="H112" t="inlineStr"/>
      <c r="I112" t="inlineStr">
        <is>
          <t>C28</t>
        </is>
      </c>
      <c r="J112" s="3" t="n">
        <v>0.9370000000000001</v>
      </c>
      <c r="K112" t="inlineStr">
        <is>
          <t>전기장비 제조업</t>
        </is>
      </c>
      <c r="L112" t="inlineStr">
        <is>
          <t>0</t>
        </is>
      </c>
      <c r="M112" s="3" t="n">
        <v>0.998</v>
      </c>
      <c r="N112" t="inlineStr">
        <is>
          <t>중립</t>
        </is>
      </c>
    </row>
    <row r="113">
      <c r="A113" s="1" t="inlineStr">
        <is>
          <t>2021-05-20</t>
        </is>
      </c>
      <c r="B113" t="inlineStr">
        <is>
          <t>news</t>
        </is>
      </c>
      <c r="C113" t="inlineStr">
        <is>
          <t>economy</t>
        </is>
      </c>
      <c r="D113" t="inlineStr">
        <is>
          <t>아시아경제</t>
        </is>
      </c>
      <c r="E113" t="inlineStr">
        <is>
          <t>송승섭</t>
        </is>
      </c>
      <c r="F113" t="inlineStr">
        <is>
          <t>세람저축銀 "친환경 차 타고 3% 적금 가입하세요"</t>
        </is>
      </c>
      <c r="G113" s="2">
        <f>HYPERLINK("https://view.asiae.co.kr/article/2021052011033390879", "Go to Website")</f>
        <v/>
      </c>
      <c r="H113" t="inlineStr"/>
      <c r="I113" t="inlineStr">
        <is>
          <t>K64</t>
        </is>
      </c>
      <c r="J113" s="3" t="n">
        <v>1</v>
      </c>
      <c r="K113" t="inlineStr">
        <is>
          <t>금융업</t>
        </is>
      </c>
      <c r="L113" t="inlineStr"/>
      <c r="M113" t="inlineStr"/>
      <c r="N113" t="inlineStr"/>
    </row>
    <row r="114">
      <c r="A114" s="1" t="inlineStr">
        <is>
          <t>2021-05-20</t>
        </is>
      </c>
      <c r="B114" t="inlineStr">
        <is>
          <t>news</t>
        </is>
      </c>
      <c r="C114" t="inlineStr">
        <is>
          <t>economy</t>
        </is>
      </c>
      <c r="D114" t="inlineStr">
        <is>
          <t>헤럴드경제</t>
        </is>
      </c>
      <c r="E114" t="inlineStr">
        <is>
          <t>홍승희</t>
        </is>
      </c>
      <c r="F114" t="inlineStr">
        <is>
          <t>세람저축銀, 최고 금리 3% '착한운전자 적금' 출시</t>
        </is>
      </c>
      <c r="G114" s="2">
        <f>HYPERLINK("http://news.heraldcorp.com/view.php?ud=20210520000254", "Go to Website")</f>
        <v/>
      </c>
      <c r="H114" t="inlineStr"/>
      <c r="I114" t="inlineStr">
        <is>
          <t>K64</t>
        </is>
      </c>
      <c r="J114" s="3" t="n">
        <v>1</v>
      </c>
      <c r="K114" t="inlineStr">
        <is>
          <t>금융업</t>
        </is>
      </c>
      <c r="L114" t="inlineStr"/>
      <c r="M114" t="inlineStr"/>
      <c r="N114" t="inlineStr"/>
    </row>
    <row r="115">
      <c r="A115" s="1" t="inlineStr">
        <is>
          <t>2021-05-20</t>
        </is>
      </c>
      <c r="B115" t="inlineStr">
        <is>
          <t>news</t>
        </is>
      </c>
      <c r="C115" t="inlineStr">
        <is>
          <t>economy</t>
        </is>
      </c>
      <c r="D115" t="inlineStr">
        <is>
          <t>연합뉴스</t>
        </is>
      </c>
      <c r="E115" t="inlineStr">
        <is>
          <t>한혜원</t>
        </is>
      </c>
      <c r="F115" t="inlineStr">
        <is>
          <t>세람저축은행, 최고 금리 3% '착한운전자 적금' 출시</t>
        </is>
      </c>
      <c r="G115" s="2">
        <f>HYPERLINK("http://yna.kr/AKR20210520047000002?did=1195m", "Go to Website")</f>
        <v/>
      </c>
      <c r="H115" t="inlineStr"/>
      <c r="I115" t="inlineStr">
        <is>
          <t>K64</t>
        </is>
      </c>
      <c r="J115" s="3" t="n">
        <v>1</v>
      </c>
      <c r="K115" t="inlineStr">
        <is>
          <t>금융업</t>
        </is>
      </c>
      <c r="L115" t="inlineStr"/>
      <c r="M115" t="inlineStr"/>
      <c r="N115" t="inlineStr"/>
    </row>
    <row r="116">
      <c r="A116" s="1" t="inlineStr">
        <is>
          <t>2021-05-20</t>
        </is>
      </c>
      <c r="B116" t="inlineStr">
        <is>
          <t>news</t>
        </is>
      </c>
      <c r="C116" t="inlineStr">
        <is>
          <t>economy</t>
        </is>
      </c>
      <c r="D116" t="inlineStr">
        <is>
          <t>디지털타임스</t>
        </is>
      </c>
      <c r="E116" t="inlineStr">
        <is>
          <t>김위수</t>
        </is>
      </c>
      <c r="F116" t="inlineStr">
        <is>
          <t>GS칼텍스, 2.7조 투자한 올레핀 설비 다음달 상업가동</t>
        </is>
      </c>
      <c r="G116" s="2">
        <f>HYPERLINK("http://www.dt.co.kr/contents.html?article_no=2021052002109932033001", "Go to Website")</f>
        <v/>
      </c>
      <c r="H116" t="inlineStr"/>
      <c r="I116" t="inlineStr">
        <is>
          <t>100</t>
        </is>
      </c>
      <c r="J116" s="3" t="n">
        <v>1</v>
      </c>
      <c r="K116" t="inlineStr">
        <is>
          <t>분류 제외, 기타</t>
        </is>
      </c>
      <c r="L116" t="inlineStr"/>
      <c r="M116" t="inlineStr"/>
      <c r="N116" t="inlineStr"/>
    </row>
    <row r="117">
      <c r="A117" s="1" t="inlineStr">
        <is>
          <t>2021-05-20</t>
        </is>
      </c>
      <c r="B117" t="inlineStr">
        <is>
          <t>news</t>
        </is>
      </c>
      <c r="C117" t="inlineStr">
        <is>
          <t>economy</t>
        </is>
      </c>
      <c r="D117" t="inlineStr">
        <is>
          <t>중앙일보</t>
        </is>
      </c>
      <c r="E117" t="inlineStr">
        <is>
          <t>강기헌</t>
        </is>
      </c>
      <c r="F117" t="inlineStr">
        <is>
          <t>한국 수소차 가장 많은데, 충전소는 일본의 절반</t>
        </is>
      </c>
      <c r="G117" s="2">
        <f>HYPERLINK("https://news.joins.com/article/olink/23656529", "Go to Website")</f>
        <v/>
      </c>
      <c r="H117" t="inlineStr"/>
      <c r="I117" t="inlineStr">
        <is>
          <t>100</t>
        </is>
      </c>
      <c r="J117" s="3" t="n">
        <v>0.319</v>
      </c>
      <c r="K117" t="inlineStr">
        <is>
          <t>분류 제외, 기타</t>
        </is>
      </c>
      <c r="L117" t="inlineStr"/>
      <c r="M117" t="inlineStr"/>
      <c r="N117" t="inlineStr"/>
    </row>
    <row r="118">
      <c r="A118" s="1" t="inlineStr">
        <is>
          <t>2021-05-20</t>
        </is>
      </c>
      <c r="B118" t="inlineStr">
        <is>
          <t>news</t>
        </is>
      </c>
      <c r="C118" t="inlineStr">
        <is>
          <t>economy</t>
        </is>
      </c>
      <c r="D118" t="inlineStr">
        <is>
          <t>중앙일보</t>
        </is>
      </c>
      <c r="E118" t="inlineStr">
        <is>
          <t>김기환</t>
        </is>
      </c>
      <c r="F118" t="inlineStr">
        <is>
          <t>정부가 로드맵 그려 밀어붙인 수소 경제…일회성 지원보다 인력·기술력 키워야</t>
        </is>
      </c>
      <c r="G118" s="2">
        <f>HYPERLINK("https://news.joins.com/article/olink/23656524", "Go to Website")</f>
        <v/>
      </c>
      <c r="H118" t="inlineStr"/>
      <c r="I118" t="inlineStr">
        <is>
          <t>100</t>
        </is>
      </c>
      <c r="J118" s="3" t="n">
        <v>0.921</v>
      </c>
      <c r="K118" t="inlineStr">
        <is>
          <t>분류 제외, 기타</t>
        </is>
      </c>
      <c r="L118" t="inlineStr"/>
      <c r="M118" t="inlineStr"/>
      <c r="N118" t="inlineStr"/>
    </row>
    <row r="119">
      <c r="A119" s="1" t="inlineStr">
        <is>
          <t>2021-05-19</t>
        </is>
      </c>
      <c r="B119" t="inlineStr">
        <is>
          <t>news</t>
        </is>
      </c>
      <c r="C119" t="inlineStr">
        <is>
          <t>economy</t>
        </is>
      </c>
      <c r="D119" t="inlineStr">
        <is>
          <t>중앙일보</t>
        </is>
      </c>
      <c r="E119" t="inlineStr">
        <is>
          <t>강기헌</t>
        </is>
      </c>
      <c r="F119" t="inlineStr">
        <is>
          <t>일본은 3년 전 복층충전소 지었는데…한국은 규제 푸느라 2년 허비</t>
        </is>
      </c>
      <c r="G119" s="2">
        <f>HYPERLINK("https://news.joins.com/article/olink/23656428", "Go to Website")</f>
        <v/>
      </c>
      <c r="H119" t="inlineStr"/>
      <c r="I119" t="inlineStr">
        <is>
          <t>100</t>
        </is>
      </c>
      <c r="J119" s="3" t="n">
        <v>0.508</v>
      </c>
      <c r="K119" t="inlineStr">
        <is>
          <t>분류 제외, 기타</t>
        </is>
      </c>
      <c r="L119" t="inlineStr"/>
      <c r="M119" t="inlineStr"/>
      <c r="N119" t="inlineStr"/>
    </row>
    <row r="120">
      <c r="A120" s="1" t="inlineStr">
        <is>
          <t>2021-05-19</t>
        </is>
      </c>
      <c r="B120" t="inlineStr">
        <is>
          <t>news</t>
        </is>
      </c>
      <c r="C120" t="inlineStr">
        <is>
          <t>economy</t>
        </is>
      </c>
      <c r="D120" t="inlineStr">
        <is>
          <t>중앙일보</t>
        </is>
      </c>
      <c r="E120" t="inlineStr">
        <is>
          <t>김기환</t>
        </is>
      </c>
      <c r="F120" t="inlineStr">
        <is>
          <t>수소차→생태계…불도저식 추진한 '수소경제 로드맵' 명암</t>
        </is>
      </c>
      <c r="G120" s="2">
        <f>HYPERLINK("https://news.joins.com/article/olink/23656319", "Go to Website")</f>
        <v/>
      </c>
      <c r="H120" t="inlineStr"/>
      <c r="I120" t="inlineStr">
        <is>
          <t>100</t>
        </is>
      </c>
      <c r="J120" s="3" t="n">
        <v>0.926</v>
      </c>
      <c r="K120" t="inlineStr">
        <is>
          <t>분류 제외, 기타</t>
        </is>
      </c>
      <c r="L120" t="inlineStr"/>
      <c r="M120" t="inlineStr"/>
      <c r="N120" t="inlineStr"/>
    </row>
    <row r="121">
      <c r="A121" s="1" t="inlineStr">
        <is>
          <t>2021-05-19</t>
        </is>
      </c>
      <c r="B121" t="inlineStr">
        <is>
          <t>news</t>
        </is>
      </c>
      <c r="C121" t="inlineStr">
        <is>
          <t>economy</t>
        </is>
      </c>
      <c r="D121" t="inlineStr">
        <is>
          <t>매일신문</t>
        </is>
      </c>
      <c r="E121" t="inlineStr">
        <is>
          <t>채원영</t>
        </is>
      </c>
      <c r="F121" t="inlineStr">
        <is>
          <t>[車부품 CEO] &lt;6&gt;이재승 PHA(평화정공) 사장</t>
        </is>
      </c>
      <c r="G121" s="2">
        <f>HYPERLINK("https://news.imaeil.com/Economy/2021051911325722709", "Go to Website")</f>
        <v/>
      </c>
      <c r="H121" t="inlineStr"/>
      <c r="I121" t="inlineStr">
        <is>
          <t>C30</t>
        </is>
      </c>
      <c r="J121" s="3" t="n">
        <v>0.998</v>
      </c>
      <c r="K121" t="inlineStr">
        <is>
          <t>자동차 및 트레일러 제조업</t>
        </is>
      </c>
      <c r="L121" t="inlineStr"/>
      <c r="M121" t="inlineStr"/>
      <c r="N121" t="inlineStr"/>
    </row>
    <row r="122">
      <c r="A122" s="1" t="inlineStr">
        <is>
          <t>2021-05-19</t>
        </is>
      </c>
      <c r="B122" t="inlineStr">
        <is>
          <t>news</t>
        </is>
      </c>
      <c r="C122" t="inlineStr">
        <is>
          <t>tech</t>
        </is>
      </c>
      <c r="D122" t="inlineStr">
        <is>
          <t>매일신문</t>
        </is>
      </c>
      <c r="E122" t="inlineStr">
        <is>
          <t>채원영</t>
        </is>
      </c>
      <c r="F122" t="inlineStr">
        <is>
          <t>[車부품 CEO] &lt;6&gt;이재승 PHA(평화정공) 사장</t>
        </is>
      </c>
      <c r="G122" s="2">
        <f>HYPERLINK("https://news.imaeil.com/Economy/2021051911325722709", "Go to Website")</f>
        <v/>
      </c>
      <c r="H122" t="inlineStr"/>
      <c r="I122" t="inlineStr"/>
      <c r="J122" t="inlineStr"/>
      <c r="K122" t="inlineStr"/>
      <c r="L122" t="inlineStr"/>
      <c r="M122" t="inlineStr"/>
      <c r="N122" t="inlineStr"/>
    </row>
    <row r="123">
      <c r="A123" s="1" t="inlineStr">
        <is>
          <t>2021-05-19</t>
        </is>
      </c>
      <c r="B123" t="inlineStr">
        <is>
          <t>news</t>
        </is>
      </c>
      <c r="C123" t="inlineStr">
        <is>
          <t>economy</t>
        </is>
      </c>
      <c r="D123" t="inlineStr">
        <is>
          <t>한국경제</t>
        </is>
      </c>
      <c r="E123" t="inlineStr">
        <is>
          <t>강경민</t>
        </is>
      </c>
      <c r="F123" t="inlineStr">
        <is>
          <t>'최초 제조기' 코오롱인더스트리…고부가 新소재로 쾌속질주</t>
        </is>
      </c>
      <c r="G123" s="2">
        <f>HYPERLINK("https://www.hankyung.com/economy/article/2021051980131", "Go to Website")</f>
        <v/>
      </c>
      <c r="H123" t="inlineStr"/>
      <c r="I123" t="inlineStr">
        <is>
          <t>C20</t>
        </is>
      </c>
      <c r="J123" s="3" t="n">
        <v>1</v>
      </c>
      <c r="K123" t="inlineStr">
        <is>
          <t>화학 물질 및 화학제품 제조업; 의약품 제외</t>
        </is>
      </c>
      <c r="L123" t="inlineStr"/>
      <c r="M123" t="inlineStr"/>
      <c r="N123" t="inlineStr"/>
    </row>
    <row r="124">
      <c r="A124" s="1" t="inlineStr">
        <is>
          <t>2021-05-19</t>
        </is>
      </c>
      <c r="B124" t="inlineStr">
        <is>
          <t>news</t>
        </is>
      </c>
      <c r="C124" t="inlineStr">
        <is>
          <t>economy</t>
        </is>
      </c>
      <c r="D124" t="inlineStr">
        <is>
          <t>한국경제</t>
        </is>
      </c>
      <c r="E124" t="inlineStr"/>
      <c r="F124" t="inlineStr">
        <is>
          <t>1분기 영업이익 160% 늘어 … 아라미드 분기 최대 수출</t>
        </is>
      </c>
      <c r="G124" s="2">
        <f>HYPERLINK("https://www.hankyung.com/economy/article/2021051980151", "Go to Website")</f>
        <v/>
      </c>
      <c r="H124" t="inlineStr"/>
      <c r="I124" t="inlineStr">
        <is>
          <t>C20</t>
        </is>
      </c>
      <c r="J124" s="3" t="n">
        <v>0.979</v>
      </c>
      <c r="K124" t="inlineStr">
        <is>
          <t>화학 물질 및 화학제품 제조업; 의약품 제외</t>
        </is>
      </c>
      <c r="L124" t="inlineStr"/>
      <c r="M124" t="inlineStr"/>
      <c r="N124" t="inlineStr"/>
    </row>
    <row r="125">
      <c r="A125" s="1" t="inlineStr">
        <is>
          <t>2021-05-19</t>
        </is>
      </c>
      <c r="B125" t="inlineStr">
        <is>
          <t>news</t>
        </is>
      </c>
      <c r="C125" t="inlineStr">
        <is>
          <t>economy</t>
        </is>
      </c>
      <c r="D125" t="inlineStr">
        <is>
          <t>한국경제</t>
        </is>
      </c>
      <c r="E125" t="inlineStr">
        <is>
          <t>안재광</t>
        </is>
      </c>
      <c r="F125" t="inlineStr">
        <is>
          <t>"수소사업 빅텐트 구성…생산·활용·저장 밸류체인 구축할 것"</t>
        </is>
      </c>
      <c r="G125" s="2">
        <f>HYPERLINK("https://www.hankyung.com/economy/article/2021051980201", "Go to Website")</f>
        <v/>
      </c>
      <c r="H125" t="inlineStr"/>
      <c r="I125" t="inlineStr">
        <is>
          <t>C20</t>
        </is>
      </c>
      <c r="J125" s="3" t="n">
        <v>0.999</v>
      </c>
      <c r="K125" t="inlineStr">
        <is>
          <t>화학 물질 및 화학제품 제조업; 의약품 제외</t>
        </is>
      </c>
      <c r="L125" t="inlineStr"/>
      <c r="M125" t="inlineStr"/>
      <c r="N125" t="inlineStr"/>
    </row>
    <row r="126">
      <c r="A126" s="1" t="inlineStr">
        <is>
          <t>2021-05-19</t>
        </is>
      </c>
      <c r="B126" t="inlineStr">
        <is>
          <t>news</t>
        </is>
      </c>
      <c r="C126" t="inlineStr">
        <is>
          <t>economy</t>
        </is>
      </c>
      <c r="D126" t="inlineStr">
        <is>
          <t>아이뉴스24</t>
        </is>
      </c>
      <c r="E126" t="inlineStr">
        <is>
          <t>정종오</t>
        </is>
      </c>
      <c r="F126" t="inlineStr">
        <is>
          <t>자동차 부품기업의 미래차 전환 지원 나선다</t>
        </is>
      </c>
      <c r="G126" s="2">
        <f>HYPERLINK("http://www.inews24.com/view/1368315", "Go to Website")</f>
        <v/>
      </c>
      <c r="H126" t="inlineStr"/>
      <c r="I126" t="inlineStr">
        <is>
          <t>N76</t>
        </is>
      </c>
      <c r="J126" s="3" t="n">
        <v>0.533</v>
      </c>
      <c r="K126" t="inlineStr">
        <is>
          <t>임대업; 부동산 제외</t>
        </is>
      </c>
      <c r="L126" t="inlineStr"/>
      <c r="M126" t="inlineStr"/>
      <c r="N126" t="inlineStr"/>
    </row>
    <row r="127">
      <c r="A127" s="1" t="inlineStr">
        <is>
          <t>2021-05-19</t>
        </is>
      </c>
      <c r="B127" t="inlineStr">
        <is>
          <t>news</t>
        </is>
      </c>
      <c r="C127" t="inlineStr">
        <is>
          <t>economy</t>
        </is>
      </c>
      <c r="D127" t="inlineStr">
        <is>
          <t>비즈니스워치</t>
        </is>
      </c>
      <c r="E127" t="inlineStr"/>
      <c r="F127" t="inlineStr">
        <is>
          <t>산업부, 전기차·수소차 부품기업에 50억원 투입</t>
        </is>
      </c>
      <c r="G127" s="2">
        <f>HYPERLINK("http://news.bizwatch.co.kr/article/industry/2021/05/19/0002", "Go to Website")</f>
        <v/>
      </c>
      <c r="H127" t="inlineStr"/>
      <c r="I127" t="inlineStr">
        <is>
          <t>100</t>
        </is>
      </c>
      <c r="J127" s="3" t="n">
        <v>0.403</v>
      </c>
      <c r="K127" t="inlineStr">
        <is>
          <t>분류 제외, 기타</t>
        </is>
      </c>
      <c r="L127" t="inlineStr"/>
      <c r="M127" t="inlineStr"/>
      <c r="N127" t="inlineStr"/>
    </row>
    <row r="128">
      <c r="A128" s="1" t="inlineStr">
        <is>
          <t>2021-05-19</t>
        </is>
      </c>
      <c r="B128" t="inlineStr">
        <is>
          <t>news</t>
        </is>
      </c>
      <c r="C128" t="inlineStr">
        <is>
          <t>economy</t>
        </is>
      </c>
      <c r="D128" t="inlineStr">
        <is>
          <t>SBS Biz</t>
        </is>
      </c>
      <c r="E128" t="inlineStr">
        <is>
          <t>최서우</t>
        </is>
      </c>
      <c r="F128" t="inlineStr">
        <is>
          <t>[카운트머니] 미래 성장주 현대자동차! 지금 사도 오를까? [염승환 이베스트투자증권 부장]</t>
        </is>
      </c>
      <c r="G128" s="2">
        <f>HYPERLINK("https://biz.sbs.co.kr/article_hub/20000015926", "Go to Website")</f>
        <v/>
      </c>
      <c r="H128" t="inlineStr"/>
      <c r="I128" t="inlineStr">
        <is>
          <t>K64</t>
        </is>
      </c>
      <c r="J128" s="3" t="n">
        <v>0.49</v>
      </c>
      <c r="K128" t="inlineStr">
        <is>
          <t>금융업</t>
        </is>
      </c>
      <c r="L128" t="inlineStr"/>
      <c r="M128" t="inlineStr"/>
      <c r="N128" t="inlineStr"/>
    </row>
    <row r="129">
      <c r="A129" s="1" t="inlineStr">
        <is>
          <t>2021-05-19</t>
        </is>
      </c>
      <c r="B129" t="inlineStr">
        <is>
          <t>news</t>
        </is>
      </c>
      <c r="C129" t="inlineStr">
        <is>
          <t>economy</t>
        </is>
      </c>
      <c r="D129" t="inlineStr">
        <is>
          <t>뉴시스</t>
        </is>
      </c>
      <c r="E129" t="inlineStr">
        <is>
          <t>박주연</t>
        </is>
      </c>
      <c r="F129" t="inlineStr">
        <is>
          <t>현대차그룹, 반도체 수급난에 노사갈등까지 '악재'</t>
        </is>
      </c>
      <c r="G129" s="2">
        <f>HYPERLINK("http://www.newsis.com/view/?id=NISX20210518_0001445834&amp;cID=13001&amp;pID=13000", "Go to Website")</f>
        <v/>
      </c>
      <c r="H129" t="inlineStr"/>
      <c r="I129" t="inlineStr">
        <is>
          <t>C30</t>
        </is>
      </c>
      <c r="J129" s="3" t="n">
        <v>0.262</v>
      </c>
      <c r="K129" t="inlineStr">
        <is>
          <t>자동차 및 트레일러 제조업</t>
        </is>
      </c>
      <c r="L129" t="inlineStr"/>
      <c r="M129" t="inlineStr"/>
      <c r="N129" t="inlineStr"/>
    </row>
    <row r="130">
      <c r="A130" s="1" t="inlineStr">
        <is>
          <t>2021-05-19</t>
        </is>
      </c>
      <c r="B130" t="inlineStr">
        <is>
          <t>news</t>
        </is>
      </c>
      <c r="C130" t="inlineStr">
        <is>
          <t>economy</t>
        </is>
      </c>
      <c r="D130" t="inlineStr">
        <is>
          <t>한경비즈니스</t>
        </is>
      </c>
      <c r="E130" t="inlineStr">
        <is>
          <t>조수빈</t>
        </is>
      </c>
      <c r="F130" t="inlineStr">
        <is>
          <t>‘유럽을 탄소 중립국으로’…1조 유로 투자하는 ‘EU 그린 딜’</t>
        </is>
      </c>
      <c r="G130" s="2">
        <f>HYPERLINK("https://magazine.hankyung.com/business/article/202105126712b", "Go to Website")</f>
        <v/>
      </c>
      <c r="H130" t="inlineStr"/>
      <c r="I130" t="inlineStr">
        <is>
          <t>100</t>
        </is>
      </c>
      <c r="J130" s="3" t="n">
        <v>0.918</v>
      </c>
      <c r="K130" t="inlineStr">
        <is>
          <t>분류 제외, 기타</t>
        </is>
      </c>
      <c r="L130" t="inlineStr"/>
      <c r="M130" t="inlineStr"/>
      <c r="N130" t="inlineStr"/>
    </row>
    <row r="131">
      <c r="A131" s="1" t="inlineStr">
        <is>
          <t>2021-05-19</t>
        </is>
      </c>
      <c r="B131" t="inlineStr">
        <is>
          <t>news</t>
        </is>
      </c>
      <c r="C131" t="inlineStr">
        <is>
          <t>economy</t>
        </is>
      </c>
      <c r="D131" t="inlineStr">
        <is>
          <t>세계일보</t>
        </is>
      </c>
      <c r="E131" t="inlineStr">
        <is>
          <t>이정우</t>
        </is>
      </c>
      <c r="F131" t="inlineStr">
        <is>
          <t>가볍고 강도 높은 차체 생산… 전기차 부품시장 선점 나선다 [K브랜드 리포트]</t>
        </is>
      </c>
      <c r="G131" s="2">
        <f>HYPERLINK("http://www.segye.com/content/html/2021/05/18/20210518512563.html", "Go to Website")</f>
        <v/>
      </c>
      <c r="H131" t="inlineStr"/>
      <c r="I131" t="inlineStr">
        <is>
          <t>C24</t>
        </is>
      </c>
      <c r="J131" s="3" t="n">
        <v>0.999</v>
      </c>
      <c r="K131" t="inlineStr">
        <is>
          <t>1차 금속 제조업</t>
        </is>
      </c>
      <c r="L131" t="inlineStr">
        <is>
          <t>1</t>
        </is>
      </c>
      <c r="M131" s="3" t="n">
        <v>0.879</v>
      </c>
      <c r="N131" t="inlineStr">
        <is>
          <t>긍정</t>
        </is>
      </c>
    </row>
    <row r="132">
      <c r="A132" s="1" t="inlineStr">
        <is>
          <t>2021-05-18</t>
        </is>
      </c>
      <c r="B132" t="inlineStr">
        <is>
          <t>news</t>
        </is>
      </c>
      <c r="C132" t="inlineStr">
        <is>
          <t>economy</t>
        </is>
      </c>
      <c r="D132" t="inlineStr">
        <is>
          <t>파이낸셜뉴스</t>
        </is>
      </c>
      <c r="E132" t="inlineStr">
        <is>
          <t>김영권</t>
        </is>
      </c>
      <c r="F132" t="inlineStr">
        <is>
          <t>석화업계 탄소나노튜브·탄소섬유 등 신소재 상용화</t>
        </is>
      </c>
      <c r="G132" s="2">
        <f>HYPERLINK("http://www.fnnews.com/news/202105181801271800", "Go to Website")</f>
        <v/>
      </c>
      <c r="H132" t="inlineStr"/>
      <c r="I132" t="inlineStr">
        <is>
          <t>C20</t>
        </is>
      </c>
      <c r="J132" s="3" t="n">
        <v>1</v>
      </c>
      <c r="K132" t="inlineStr">
        <is>
          <t>화학 물질 및 화학제품 제조업; 의약품 제외</t>
        </is>
      </c>
      <c r="L132" t="inlineStr"/>
      <c r="M132" t="inlineStr"/>
      <c r="N132" t="inlineStr"/>
    </row>
    <row r="133">
      <c r="A133" s="1" t="inlineStr">
        <is>
          <t>2021-05-18</t>
        </is>
      </c>
      <c r="B133" t="inlineStr">
        <is>
          <t>news</t>
        </is>
      </c>
      <c r="C133" t="inlineStr">
        <is>
          <t>economy</t>
        </is>
      </c>
      <c r="D133" t="inlineStr">
        <is>
          <t>한국경제</t>
        </is>
      </c>
      <c r="E133" t="inlineStr">
        <is>
          <t>심성미</t>
        </is>
      </c>
      <c r="F133" t="inlineStr">
        <is>
          <t>현대차, 반등 시동…"반도체 쇼티지 곧 해소"</t>
        </is>
      </c>
      <c r="G133" s="2">
        <f>HYPERLINK("https://www.hankyung.com/finance/article/2021051866061", "Go to Website")</f>
        <v/>
      </c>
      <c r="H133" t="inlineStr"/>
      <c r="I133" t="inlineStr">
        <is>
          <t>C30</t>
        </is>
      </c>
      <c r="J133" s="3" t="n">
        <v>0.895</v>
      </c>
      <c r="K133" t="inlineStr">
        <is>
          <t>자동차 및 트레일러 제조업</t>
        </is>
      </c>
      <c r="L133" t="inlineStr">
        <is>
          <t>1</t>
        </is>
      </c>
      <c r="M133" s="3" t="n">
        <v>0.787</v>
      </c>
      <c r="N133" t="inlineStr">
        <is>
          <t>긍정</t>
        </is>
      </c>
    </row>
    <row r="134">
      <c r="A134" s="1" t="inlineStr">
        <is>
          <t>2021-05-18</t>
        </is>
      </c>
      <c r="B134" t="inlineStr">
        <is>
          <t>news</t>
        </is>
      </c>
      <c r="C134" t="inlineStr">
        <is>
          <t>economy</t>
        </is>
      </c>
      <c r="D134" t="inlineStr">
        <is>
          <t>한국경제</t>
        </is>
      </c>
      <c r="E134" t="inlineStr">
        <is>
          <t>김일규</t>
        </is>
      </c>
      <c r="F134" t="inlineStr">
        <is>
          <t>수소차 보급률 1위 한국, 충전인프라는 뒤에서 두번째</t>
        </is>
      </c>
      <c r="G134" s="2">
        <f>HYPERLINK("https://www.hankyung.com/economy/article/2021051865641", "Go to Website")</f>
        <v/>
      </c>
      <c r="H134" t="inlineStr"/>
      <c r="I134" t="inlineStr">
        <is>
          <t>C30</t>
        </is>
      </c>
      <c r="J134" s="3" t="n">
        <v>0.313</v>
      </c>
      <c r="K134" t="inlineStr">
        <is>
          <t>자동차 및 트레일러 제조업</t>
        </is>
      </c>
      <c r="L134" t="inlineStr"/>
      <c r="M134" t="inlineStr"/>
      <c r="N134" t="inlineStr"/>
    </row>
    <row r="135">
      <c r="A135" s="1" t="inlineStr">
        <is>
          <t>2021-05-18</t>
        </is>
      </c>
      <c r="B135" t="inlineStr">
        <is>
          <t>news</t>
        </is>
      </c>
      <c r="C135" t="inlineStr">
        <is>
          <t>economy</t>
        </is>
      </c>
      <c r="D135" t="inlineStr">
        <is>
          <t>한국경제</t>
        </is>
      </c>
      <c r="E135" t="inlineStr">
        <is>
          <t>도병욱</t>
        </is>
      </c>
      <c r="F135" t="inlineStr">
        <is>
          <t>3년 전엔 비아냥대더니…현대차 넥쏘 '판매 역주행'에 깜짝</t>
        </is>
      </c>
      <c r="G135" s="2">
        <f>HYPERLINK("https://www.hankyung.com/economy/article/2021051865651", "Go to Website")</f>
        <v/>
      </c>
      <c r="H135" t="inlineStr"/>
      <c r="I135" t="inlineStr">
        <is>
          <t>C30</t>
        </is>
      </c>
      <c r="J135" s="3" t="n">
        <v>0.572</v>
      </c>
      <c r="K135" t="inlineStr">
        <is>
          <t>자동차 및 트레일러 제조업</t>
        </is>
      </c>
      <c r="L135" t="inlineStr">
        <is>
          <t>1</t>
        </is>
      </c>
      <c r="M135" s="3" t="n">
        <v>0.923</v>
      </c>
      <c r="N135" t="inlineStr">
        <is>
          <t>긍정</t>
        </is>
      </c>
    </row>
    <row r="136">
      <c r="A136" s="1" t="inlineStr">
        <is>
          <t>2021-05-18</t>
        </is>
      </c>
      <c r="B136" t="inlineStr">
        <is>
          <t>news</t>
        </is>
      </c>
      <c r="C136" t="inlineStr">
        <is>
          <t>economy</t>
        </is>
      </c>
      <c r="D136" t="inlineStr">
        <is>
          <t>파이낸셜뉴스</t>
        </is>
      </c>
      <c r="E136" t="inlineStr">
        <is>
          <t>김영권</t>
        </is>
      </c>
      <c r="F136" t="inlineStr">
        <is>
          <t>석화업계 신소재에서 성장동력 찾는다</t>
        </is>
      </c>
      <c r="G136" s="2">
        <f>HYPERLINK("http://www.fnnews.com/news/202105101525219825", "Go to Website")</f>
        <v/>
      </c>
      <c r="H136" t="inlineStr"/>
      <c r="I136" t="inlineStr">
        <is>
          <t>C20</t>
        </is>
      </c>
      <c r="J136" s="3" t="n">
        <v>1</v>
      </c>
      <c r="K136" t="inlineStr">
        <is>
          <t>화학 물질 및 화학제품 제조업; 의약품 제외</t>
        </is>
      </c>
      <c r="L136" t="inlineStr"/>
      <c r="M136" t="inlineStr"/>
      <c r="N136" t="inlineStr"/>
    </row>
    <row r="137">
      <c r="A137" s="1" t="inlineStr">
        <is>
          <t>2021-05-18</t>
        </is>
      </c>
      <c r="B137" t="inlineStr">
        <is>
          <t>news</t>
        </is>
      </c>
      <c r="C137" t="inlineStr">
        <is>
          <t>economy</t>
        </is>
      </c>
      <c r="D137" t="inlineStr">
        <is>
          <t>한국경제</t>
        </is>
      </c>
      <c r="E137" t="inlineStr">
        <is>
          <t>심성미</t>
        </is>
      </c>
      <c r="F137" t="inlineStr">
        <is>
          <t>현대차, 드디어 반등시점 왔나</t>
        </is>
      </c>
      <c r="G137" s="2">
        <f>HYPERLINK("https://www.hankyung.com/finance/article/202105185981i", "Go to Website")</f>
        <v/>
      </c>
      <c r="H137" t="inlineStr"/>
      <c r="I137" t="inlineStr">
        <is>
          <t>C30</t>
        </is>
      </c>
      <c r="J137" s="3" t="n">
        <v>0.99</v>
      </c>
      <c r="K137" t="inlineStr">
        <is>
          <t>자동차 및 트레일러 제조업</t>
        </is>
      </c>
      <c r="L137" t="inlineStr">
        <is>
          <t>-1</t>
        </is>
      </c>
      <c r="M137" s="3" t="n">
        <v>0.549</v>
      </c>
      <c r="N137" t="inlineStr">
        <is>
          <t>부정</t>
        </is>
      </c>
    </row>
    <row r="138">
      <c r="A138" s="1" t="inlineStr">
        <is>
          <t>2021-05-18</t>
        </is>
      </c>
      <c r="B138" t="inlineStr">
        <is>
          <t>news</t>
        </is>
      </c>
      <c r="C138" t="inlineStr">
        <is>
          <t>economy</t>
        </is>
      </c>
      <c r="D138" t="inlineStr">
        <is>
          <t>프레시안</t>
        </is>
      </c>
      <c r="E138" t="inlineStr"/>
      <c r="F138" t="inlineStr">
        <is>
          <t>전기차 전환 논의가 놓친 논쟁들</t>
        </is>
      </c>
      <c r="G138" s="2">
        <f>HYPERLINK("https://www.pressian.com/pages/articles/2021051811300167114?utm_medium=search", "Go to Website")</f>
        <v/>
      </c>
      <c r="H138" t="inlineStr"/>
      <c r="I138" t="inlineStr">
        <is>
          <t>C20</t>
        </is>
      </c>
      <c r="J138" s="3" t="n">
        <v>0.498</v>
      </c>
      <c r="K138" t="inlineStr">
        <is>
          <t>화학 물질 및 화학제품 제조업; 의약품 제외</t>
        </is>
      </c>
      <c r="L138" t="inlineStr"/>
      <c r="M138" t="inlineStr"/>
      <c r="N138" t="inlineStr"/>
    </row>
    <row r="139">
      <c r="A139" s="1" t="inlineStr">
        <is>
          <t>2021-05-18</t>
        </is>
      </c>
      <c r="B139" t="inlineStr">
        <is>
          <t>news</t>
        </is>
      </c>
      <c r="C139" t="inlineStr">
        <is>
          <t>economy</t>
        </is>
      </c>
      <c r="D139" t="inlineStr">
        <is>
          <t>문화일보</t>
        </is>
      </c>
      <c r="E139" t="inlineStr">
        <is>
          <t>산업부</t>
        </is>
      </c>
      <c r="F139" t="inlineStr">
        <is>
          <t>&lt;취재수첩&gt;투자까지 막는 車노조 ‘황당 몽니’</t>
        </is>
      </c>
      <c r="G139" s="2">
        <f>HYPERLINK("http://www.munhwa.com/news/view.html?no=2021051801072239176001", "Go to Website")</f>
        <v/>
      </c>
      <c r="H139" t="inlineStr"/>
      <c r="I139" t="inlineStr">
        <is>
          <t>C28</t>
        </is>
      </c>
      <c r="J139" s="3" t="n">
        <v>0.987</v>
      </c>
      <c r="K139" t="inlineStr">
        <is>
          <t>전기장비 제조업</t>
        </is>
      </c>
      <c r="L139" t="inlineStr"/>
      <c r="M139" t="inlineStr"/>
      <c r="N139" t="inlineStr"/>
    </row>
    <row r="140">
      <c r="A140" s="1" t="inlineStr">
        <is>
          <t>2021-05-18</t>
        </is>
      </c>
      <c r="B140" t="inlineStr">
        <is>
          <t>news</t>
        </is>
      </c>
      <c r="C140" t="inlineStr">
        <is>
          <t>economy</t>
        </is>
      </c>
      <c r="D140" t="inlineStr">
        <is>
          <t>문화일보</t>
        </is>
      </c>
      <c r="E140" t="inlineStr">
        <is>
          <t>곽선미</t>
        </is>
      </c>
      <c r="F140" t="inlineStr">
        <is>
          <t>하이브리드차 稅감면 연장 추진… 정유업계 ‘기대감’</t>
        </is>
      </c>
      <c r="G140" s="2">
        <f>HYPERLINK("http://www.munhwa.com/news/view.html?no=2021051801072339342001", "Go to Website")</f>
        <v/>
      </c>
      <c r="H140" t="inlineStr"/>
      <c r="I140" t="inlineStr">
        <is>
          <t>M71</t>
        </is>
      </c>
      <c r="J140" s="3" t="n">
        <v>0.614</v>
      </c>
      <c r="K140" t="inlineStr">
        <is>
          <t>전문 서비스업</t>
        </is>
      </c>
      <c r="L140" t="inlineStr"/>
      <c r="M140" t="inlineStr"/>
      <c r="N140" t="inlineStr"/>
    </row>
    <row r="141">
      <c r="A141" s="1" t="inlineStr">
        <is>
          <t>2021-05-18</t>
        </is>
      </c>
      <c r="B141" t="inlineStr">
        <is>
          <t>news</t>
        </is>
      </c>
      <c r="C141" t="inlineStr">
        <is>
          <t>economy</t>
        </is>
      </c>
      <c r="D141" t="inlineStr">
        <is>
          <t>이데일리</t>
        </is>
      </c>
      <c r="E141" t="inlineStr">
        <is>
          <t>강경래</t>
        </is>
      </c>
      <c r="F141" t="inlineStr">
        <is>
          <t>파인디앤씨 "올 하반기 실적 개선 시동"</t>
        </is>
      </c>
      <c r="G141" s="2">
        <f>HYPERLINK("http://www.edaily.co.kr/news/newspath.asp?newsid=01459606629050232", "Go to Website")</f>
        <v/>
      </c>
      <c r="H141" t="inlineStr"/>
      <c r="I141" t="inlineStr">
        <is>
          <t>C28</t>
        </is>
      </c>
      <c r="J141" s="3" t="n">
        <v>0.472</v>
      </c>
      <c r="K141" t="inlineStr">
        <is>
          <t>전기장비 제조업</t>
        </is>
      </c>
      <c r="L141" t="inlineStr">
        <is>
          <t>1</t>
        </is>
      </c>
      <c r="M141" s="3" t="n">
        <v>0.989</v>
      </c>
      <c r="N141" t="inlineStr">
        <is>
          <t>긍정</t>
        </is>
      </c>
    </row>
    <row r="142">
      <c r="A142" s="1" t="inlineStr">
        <is>
          <t>2021-05-18</t>
        </is>
      </c>
      <c r="B142" t="inlineStr">
        <is>
          <t>news</t>
        </is>
      </c>
      <c r="C142" t="inlineStr">
        <is>
          <t>economy</t>
        </is>
      </c>
      <c r="D142" t="inlineStr">
        <is>
          <t>KBS</t>
        </is>
      </c>
      <c r="E142" t="inlineStr">
        <is>
          <t>이현진</t>
        </is>
      </c>
      <c r="F142" t="inlineStr">
        <is>
          <t>반도체 보릿고개 언제까지…또 휴업</t>
        </is>
      </c>
      <c r="G142" s="2">
        <f>HYPERLINK("https://news.kbs.co.kr/news/view.do?ncd=5188229&amp;ref=A", "Go to Website")</f>
        <v/>
      </c>
      <c r="H142" t="inlineStr"/>
      <c r="I142" t="inlineStr">
        <is>
          <t>H50</t>
        </is>
      </c>
      <c r="J142" s="3" t="n">
        <v>0.9360000000000001</v>
      </c>
      <c r="K142" t="inlineStr">
        <is>
          <t>수상 운송업</t>
        </is>
      </c>
      <c r="L142" t="inlineStr"/>
      <c r="M142" t="inlineStr"/>
      <c r="N142" t="inlineStr"/>
    </row>
    <row r="143">
      <c r="A143" s="1" t="inlineStr">
        <is>
          <t>2021-05-18</t>
        </is>
      </c>
      <c r="B143" t="inlineStr">
        <is>
          <t>news</t>
        </is>
      </c>
      <c r="C143" t="inlineStr">
        <is>
          <t>economy</t>
        </is>
      </c>
      <c r="D143" t="inlineStr">
        <is>
          <t>연합뉴스</t>
        </is>
      </c>
      <c r="E143" t="inlineStr">
        <is>
          <t>김선호</t>
        </is>
      </c>
      <c r="F143" t="inlineStr">
        <is>
          <t>부산 수소차 충전소 2곳 올해 연말 추가 운영</t>
        </is>
      </c>
      <c r="G143" s="2">
        <f>HYPERLINK("http://yna.kr/AKR20210518023000051?did=1195m", "Go to Website")</f>
        <v/>
      </c>
      <c r="H143" t="inlineStr"/>
      <c r="I143" t="inlineStr">
        <is>
          <t>C30</t>
        </is>
      </c>
      <c r="J143" s="3" t="n">
        <v>0.335</v>
      </c>
      <c r="K143" t="inlineStr">
        <is>
          <t>자동차 및 트레일러 제조업</t>
        </is>
      </c>
      <c r="L143" t="inlineStr"/>
      <c r="M143" t="inlineStr"/>
      <c r="N143" t="inlineStr"/>
    </row>
    <row r="144">
      <c r="A144" s="1" t="inlineStr">
        <is>
          <t>2021-05-18</t>
        </is>
      </c>
      <c r="B144" t="inlineStr">
        <is>
          <t>news</t>
        </is>
      </c>
      <c r="C144" t="inlineStr">
        <is>
          <t>economy</t>
        </is>
      </c>
      <c r="D144" t="inlineStr">
        <is>
          <t>파이낸셜뉴스</t>
        </is>
      </c>
      <c r="E144" t="inlineStr">
        <is>
          <t>홍창기</t>
        </is>
      </c>
      <c r="F144" t="inlineStr">
        <is>
          <t>고속질주 급브레이크 걸리나 현대차 노조" 미국에 투자하지마"</t>
        </is>
      </c>
      <c r="G144" s="2">
        <f>HYPERLINK("http://www.fnnews.com/news/202105180614574644", "Go to Website")</f>
        <v/>
      </c>
      <c r="H144" t="inlineStr"/>
      <c r="I144" t="inlineStr">
        <is>
          <t>C30</t>
        </is>
      </c>
      <c r="J144" s="3" t="n">
        <v>0.995</v>
      </c>
      <c r="K144" t="inlineStr">
        <is>
          <t>자동차 및 트레일러 제조업</t>
        </is>
      </c>
      <c r="L144" t="inlineStr">
        <is>
          <t>1</t>
        </is>
      </c>
      <c r="M144" s="3" t="n">
        <v>0.576</v>
      </c>
      <c r="N144" t="inlineStr">
        <is>
          <t>긍정</t>
        </is>
      </c>
    </row>
    <row r="145">
      <c r="A145" s="1" t="inlineStr">
        <is>
          <t>2021-05-18</t>
        </is>
      </c>
      <c r="B145" t="inlineStr">
        <is>
          <t>news</t>
        </is>
      </c>
      <c r="C145" t="inlineStr">
        <is>
          <t>economy</t>
        </is>
      </c>
      <c r="D145" t="inlineStr">
        <is>
          <t>머니투데이</t>
        </is>
      </c>
      <c r="E145" t="inlineStr">
        <is>
          <t>최민경</t>
        </is>
      </c>
      <c r="F145" t="inlineStr">
        <is>
          <t>20년 전 현대차 남양연구소 수소차 개발에 효성이 왜?</t>
        </is>
      </c>
      <c r="G145" s="2">
        <f>HYPERLINK("http://news.mt.co.kr/mtview.php?no=2021051715552554885", "Go to Website")</f>
        <v/>
      </c>
      <c r="H145" t="inlineStr"/>
      <c r="I145" t="inlineStr">
        <is>
          <t>C20</t>
        </is>
      </c>
      <c r="J145" s="3" t="n">
        <v>0.983</v>
      </c>
      <c r="K145" t="inlineStr">
        <is>
          <t>화학 물질 및 화학제품 제조업; 의약품 제외</t>
        </is>
      </c>
      <c r="L145" t="inlineStr"/>
      <c r="M145" t="inlineStr"/>
      <c r="N145" t="inlineStr"/>
    </row>
    <row r="146">
      <c r="A146" s="1" t="inlineStr">
        <is>
          <t>2021-05-18</t>
        </is>
      </c>
      <c r="B146" t="inlineStr">
        <is>
          <t>news</t>
        </is>
      </c>
      <c r="C146" t="inlineStr">
        <is>
          <t>economy</t>
        </is>
      </c>
      <c r="D146" t="inlineStr">
        <is>
          <t>매일경제</t>
        </is>
      </c>
      <c r="E146" t="inlineStr">
        <is>
          <t>김정범</t>
        </is>
      </c>
      <c r="F146" t="inlineStr">
        <is>
          <t>테슬라부터 LG화학까지…글로벌 전기차·배터리 업체에 투자</t>
        </is>
      </c>
      <c r="G146" s="2">
        <f>HYPERLINK("http://news.mk.co.kr/newsRead.php?no=477623&amp;year=2021", "Go to Website")</f>
        <v/>
      </c>
      <c r="H146" t="inlineStr"/>
      <c r="I146" t="inlineStr">
        <is>
          <t>C20</t>
        </is>
      </c>
      <c r="J146" s="3" t="n">
        <v>0.991</v>
      </c>
      <c r="K146" t="inlineStr">
        <is>
          <t>화학 물질 및 화학제품 제조업; 의약품 제외</t>
        </is>
      </c>
      <c r="L146" t="inlineStr">
        <is>
          <t>1</t>
        </is>
      </c>
      <c r="M146" s="3" t="n">
        <v>0.594</v>
      </c>
      <c r="N146" t="inlineStr">
        <is>
          <t>긍정</t>
        </is>
      </c>
    </row>
    <row r="147">
      <c r="A147" s="1" t="inlineStr">
        <is>
          <t>2021-05-18</t>
        </is>
      </c>
      <c r="B147" t="inlineStr">
        <is>
          <t>news</t>
        </is>
      </c>
      <c r="C147" t="inlineStr">
        <is>
          <t>economy</t>
        </is>
      </c>
      <c r="D147" t="inlineStr">
        <is>
          <t>뉴시스</t>
        </is>
      </c>
      <c r="E147" t="inlineStr">
        <is>
          <t>박주연</t>
        </is>
      </c>
      <c r="F147" t="inlineStr">
        <is>
          <t>현대차·기아 노조, 美 8조 투자 반발…임단협 진통 예상(종합)</t>
        </is>
      </c>
      <c r="G147" s="2">
        <f>HYPERLINK("http://www.newsis.com/view/?id=NISX20210517_0001444433&amp;cID=13001&amp;pID=13000", "Go to Website")</f>
        <v/>
      </c>
      <c r="H147" t="inlineStr"/>
      <c r="I147" t="inlineStr">
        <is>
          <t>C30</t>
        </is>
      </c>
      <c r="J147" s="3" t="n">
        <v>0.999</v>
      </c>
      <c r="K147" t="inlineStr">
        <is>
          <t>자동차 및 트레일러 제조업</t>
        </is>
      </c>
      <c r="L147" t="inlineStr"/>
      <c r="M147" t="inlineStr"/>
      <c r="N147" t="inlineStr"/>
    </row>
    <row r="148">
      <c r="A148" s="1" t="inlineStr">
        <is>
          <t>2021-05-17</t>
        </is>
      </c>
      <c r="B148" t="inlineStr">
        <is>
          <t>news</t>
        </is>
      </c>
      <c r="C148" t="inlineStr">
        <is>
          <t>economy</t>
        </is>
      </c>
      <c r="D148" t="inlineStr">
        <is>
          <t>KBS</t>
        </is>
      </c>
      <c r="E148" t="inlineStr">
        <is>
          <t>이현진</t>
        </is>
      </c>
      <c r="F148" t="inlineStr">
        <is>
          <t>반도체 보릿고개 언제까지…또 휴업</t>
        </is>
      </c>
      <c r="G148" s="2">
        <f>HYPERLINK("https://news.kbs.co.kr/news/view.do?ncd=5188013&amp;ref=A", "Go to Website")</f>
        <v/>
      </c>
      <c r="H148" t="inlineStr"/>
      <c r="I148" t="inlineStr">
        <is>
          <t>H50</t>
        </is>
      </c>
      <c r="J148" s="3" t="n">
        <v>0.9370000000000001</v>
      </c>
      <c r="K148" t="inlineStr">
        <is>
          <t>수상 운송업</t>
        </is>
      </c>
      <c r="L148" t="inlineStr"/>
      <c r="M148" t="inlineStr"/>
      <c r="N148" t="inlineStr"/>
    </row>
    <row r="149">
      <c r="A149" s="1" t="inlineStr">
        <is>
          <t>2021-05-17</t>
        </is>
      </c>
      <c r="B149" t="inlineStr">
        <is>
          <t>news</t>
        </is>
      </c>
      <c r="C149" t="inlineStr">
        <is>
          <t>economy</t>
        </is>
      </c>
      <c r="D149" t="inlineStr">
        <is>
          <t>KBS</t>
        </is>
      </c>
      <c r="E149" t="inlineStr"/>
      <c r="F149" t="inlineStr">
        <is>
          <t>충청북도, 수소차 구매보조금 확대 지원</t>
        </is>
      </c>
      <c r="G149" s="2">
        <f>HYPERLINK("https://news.kbs.co.kr/news/view.do?ncd=5187928&amp;ref=A", "Go to Website")</f>
        <v/>
      </c>
      <c r="H149" t="inlineStr"/>
      <c r="I149" t="inlineStr">
        <is>
          <t>100</t>
        </is>
      </c>
      <c r="J149" s="3" t="n">
        <v>0.371</v>
      </c>
      <c r="K149" t="inlineStr">
        <is>
          <t>분류 제외, 기타</t>
        </is>
      </c>
      <c r="L149" t="inlineStr"/>
      <c r="M149" t="inlineStr"/>
      <c r="N149" t="inlineStr"/>
    </row>
    <row r="150">
      <c r="A150" s="1" t="inlineStr">
        <is>
          <t>2021-05-17</t>
        </is>
      </c>
      <c r="B150" t="inlineStr">
        <is>
          <t>news</t>
        </is>
      </c>
      <c r="C150" t="inlineStr">
        <is>
          <t>economy</t>
        </is>
      </c>
      <c r="D150" t="inlineStr">
        <is>
          <t>KBS</t>
        </is>
      </c>
      <c r="E150" t="inlineStr">
        <is>
          <t>이현진</t>
        </is>
      </c>
      <c r="F150" t="inlineStr">
        <is>
          <t>또 가동 중단…반도체 부족난 언제까지</t>
        </is>
      </c>
      <c r="G150" s="2">
        <f>HYPERLINK("https://news.kbs.co.kr/news/view.do?ncd=5187748&amp;ref=A", "Go to Website")</f>
        <v/>
      </c>
      <c r="H150" t="inlineStr"/>
      <c r="I150" t="inlineStr">
        <is>
          <t>K64</t>
        </is>
      </c>
      <c r="J150" s="3" t="n">
        <v>0.855</v>
      </c>
      <c r="K150" t="inlineStr">
        <is>
          <t>금융업</t>
        </is>
      </c>
      <c r="L150" t="inlineStr"/>
      <c r="M150" t="inlineStr"/>
      <c r="N150" t="inlineStr"/>
    </row>
    <row r="151">
      <c r="A151" s="1" t="inlineStr">
        <is>
          <t>2021-05-17</t>
        </is>
      </c>
      <c r="B151" t="inlineStr">
        <is>
          <t>news</t>
        </is>
      </c>
      <c r="C151" t="inlineStr">
        <is>
          <t>economy</t>
        </is>
      </c>
      <c r="D151" t="inlineStr">
        <is>
          <t>세계일보</t>
        </is>
      </c>
      <c r="E151" t="inlineStr">
        <is>
          <t>박영준</t>
        </is>
      </c>
      <c r="F151" t="inlineStr">
        <is>
          <t>법인세 인상·인플레 조짐… 韓 경제 악재 우려</t>
        </is>
      </c>
      <c r="G151" s="2">
        <f>HYPERLINK("http://www.segye.com/content/html/2021/05/17/20210517515140.html", "Go to Website")</f>
        <v/>
      </c>
      <c r="H151" t="inlineStr"/>
      <c r="I151" t="inlineStr">
        <is>
          <t>C20</t>
        </is>
      </c>
      <c r="J151" s="3" t="n">
        <v>0.654</v>
      </c>
      <c r="K151" t="inlineStr">
        <is>
          <t>화학 물질 및 화학제품 제조업; 의약품 제외</t>
        </is>
      </c>
      <c r="L151" t="inlineStr"/>
      <c r="M151" t="inlineStr"/>
      <c r="N151" t="inlineStr"/>
    </row>
    <row r="152">
      <c r="A152" s="1" t="inlineStr">
        <is>
          <t>2021-05-17</t>
        </is>
      </c>
      <c r="B152" t="inlineStr">
        <is>
          <t>news</t>
        </is>
      </c>
      <c r="C152" t="inlineStr">
        <is>
          <t>economy</t>
        </is>
      </c>
      <c r="D152" t="inlineStr">
        <is>
          <t>한국경제</t>
        </is>
      </c>
      <c r="E152" t="inlineStr">
        <is>
          <t>안재광</t>
        </is>
      </c>
      <c r="F152" t="inlineStr">
        <is>
          <t>장희구 코오롱인더스트리 사장 "코오롱 미래는 수소…통큰 투자할 것"</t>
        </is>
      </c>
      <c r="G152" s="2">
        <f>HYPERLINK("https://www.hankyung.com/economy/article/2021051726341", "Go to Website")</f>
        <v/>
      </c>
      <c r="H152" t="inlineStr"/>
      <c r="I152" t="inlineStr">
        <is>
          <t>C20</t>
        </is>
      </c>
      <c r="J152" s="3" t="n">
        <v>1</v>
      </c>
      <c r="K152" t="inlineStr">
        <is>
          <t>화학 물질 및 화학제품 제조업; 의약품 제외</t>
        </is>
      </c>
      <c r="L152" t="inlineStr">
        <is>
          <t>0</t>
        </is>
      </c>
      <c r="M152" s="3" t="n">
        <v>0.795</v>
      </c>
      <c r="N152" t="inlineStr">
        <is>
          <t>중립</t>
        </is>
      </c>
    </row>
    <row r="153">
      <c r="A153" s="1" t="inlineStr">
        <is>
          <t>2021-05-17</t>
        </is>
      </c>
      <c r="B153" t="inlineStr">
        <is>
          <t>news</t>
        </is>
      </c>
      <c r="C153" t="inlineStr">
        <is>
          <t>economy</t>
        </is>
      </c>
      <c r="D153" t="inlineStr">
        <is>
          <t>매일경제</t>
        </is>
      </c>
      <c r="E153" t="inlineStr">
        <is>
          <t>김정범</t>
        </is>
      </c>
      <c r="F153" t="inlineStr">
        <is>
          <t>재생에너지·미래車·ESG 앞세워…몰려오는 '액티브 상장지수펀드'</t>
        </is>
      </c>
      <c r="G153" s="2">
        <f>HYPERLINK("http://news.mk.co.kr/newsRead.php?no=476877&amp;year=2021", "Go to Website")</f>
        <v/>
      </c>
      <c r="H153" t="inlineStr"/>
      <c r="I153" t="inlineStr">
        <is>
          <t>K64</t>
        </is>
      </c>
      <c r="J153" s="3" t="n">
        <v>0.746</v>
      </c>
      <c r="K153" t="inlineStr">
        <is>
          <t>금융업</t>
        </is>
      </c>
      <c r="L153" t="inlineStr"/>
      <c r="M153" t="inlineStr"/>
      <c r="N153" t="inlineStr"/>
    </row>
    <row r="154">
      <c r="A154" s="1" t="inlineStr">
        <is>
          <t>2021-05-17</t>
        </is>
      </c>
      <c r="B154" t="inlineStr">
        <is>
          <t>news</t>
        </is>
      </c>
      <c r="C154" t="inlineStr">
        <is>
          <t>economy</t>
        </is>
      </c>
      <c r="D154" t="inlineStr">
        <is>
          <t>한국일보</t>
        </is>
      </c>
      <c r="E154" t="inlineStr">
        <is>
          <t>김경준</t>
        </is>
      </c>
      <c r="F154" t="inlineStr">
        <is>
          <t>현대차·기아 노조 "미국 시장에 8조원 투자 계획 반대"</t>
        </is>
      </c>
      <c r="G154" s="2">
        <f>HYPERLINK("https://hankookilbo.com/News/Read/A2021051716360005889?did=NA", "Go to Website")</f>
        <v/>
      </c>
      <c r="H154" t="inlineStr"/>
      <c r="I154" t="inlineStr">
        <is>
          <t>C30</t>
        </is>
      </c>
      <c r="J154" s="3" t="n">
        <v>0.997</v>
      </c>
      <c r="K154" t="inlineStr">
        <is>
          <t>자동차 및 트레일러 제조업</t>
        </is>
      </c>
      <c r="L154" t="inlineStr"/>
      <c r="M154" t="inlineStr"/>
      <c r="N154" t="inlineStr"/>
    </row>
    <row r="155">
      <c r="A155" s="1" t="inlineStr">
        <is>
          <t>2021-05-17</t>
        </is>
      </c>
      <c r="B155" t="inlineStr">
        <is>
          <t>news</t>
        </is>
      </c>
      <c r="C155" t="inlineStr">
        <is>
          <t>economy</t>
        </is>
      </c>
      <c r="D155" t="inlineStr">
        <is>
          <t>비즈니스워치</t>
        </is>
      </c>
      <c r="E155" t="inlineStr"/>
      <c r="F155" t="inlineStr">
        <is>
          <t>'소재 슈퍼사이클'에 어깨 편 효성·코오롱</t>
        </is>
      </c>
      <c r="G155" s="2">
        <f>HYPERLINK("http://news.bizwatch.co.kr/article/industry/2021/05/17/0022", "Go to Website")</f>
        <v/>
      </c>
      <c r="H155" t="inlineStr"/>
      <c r="I155" t="inlineStr">
        <is>
          <t>C20</t>
        </is>
      </c>
      <c r="J155" s="3" t="n">
        <v>1</v>
      </c>
      <c r="K155" t="inlineStr">
        <is>
          <t>화학 물질 및 화학제품 제조업; 의약품 제외</t>
        </is>
      </c>
      <c r="L155" t="inlineStr"/>
      <c r="M155" t="inlineStr"/>
      <c r="N155" t="inlineStr"/>
    </row>
    <row r="156">
      <c r="A156" s="1" t="inlineStr">
        <is>
          <t>2021-05-17</t>
        </is>
      </c>
      <c r="B156" t="inlineStr">
        <is>
          <t>news</t>
        </is>
      </c>
      <c r="C156" t="inlineStr">
        <is>
          <t>economy</t>
        </is>
      </c>
      <c r="D156" t="inlineStr">
        <is>
          <t>뉴시스</t>
        </is>
      </c>
      <c r="E156" t="inlineStr">
        <is>
          <t>박주연</t>
        </is>
      </c>
      <c r="F156" t="inlineStr">
        <is>
          <t>현대차그룹 美투자에 현대·기아 노조 반발…임단협 진통 예상</t>
        </is>
      </c>
      <c r="G156" s="2">
        <f>HYPERLINK("http://www.newsis.com/view/?id=NISX20210517_0001444206&amp;cID=13001&amp;pID=13000", "Go to Website")</f>
        <v/>
      </c>
      <c r="H156" t="inlineStr"/>
      <c r="I156" t="inlineStr">
        <is>
          <t>C30</t>
        </is>
      </c>
      <c r="J156" s="3" t="n">
        <v>0.978</v>
      </c>
      <c r="K156" t="inlineStr">
        <is>
          <t>자동차 및 트레일러 제조업</t>
        </is>
      </c>
      <c r="L156" t="inlineStr"/>
      <c r="M156" t="inlineStr"/>
      <c r="N156" t="inlineStr"/>
    </row>
    <row r="157">
      <c r="A157" s="1" t="inlineStr">
        <is>
          <t>2021-05-17</t>
        </is>
      </c>
      <c r="B157" t="inlineStr">
        <is>
          <t>news</t>
        </is>
      </c>
      <c r="C157" t="inlineStr">
        <is>
          <t>economy</t>
        </is>
      </c>
      <c r="D157" t="inlineStr">
        <is>
          <t>한국경제</t>
        </is>
      </c>
      <c r="E157" t="inlineStr">
        <is>
          <t>김일규</t>
        </is>
      </c>
      <c r="F157" t="inlineStr">
        <is>
          <t>'전기차 대전' 변수는 배터리값·충전 인프라</t>
        </is>
      </c>
      <c r="G157" s="2">
        <f>HYPERLINK("https://www.hankyung.com/economy/article/2021051795771", "Go to Website")</f>
        <v/>
      </c>
      <c r="H157" t="inlineStr"/>
      <c r="I157" t="inlineStr">
        <is>
          <t>C26</t>
        </is>
      </c>
      <c r="J157" s="3" t="n">
        <v>0.372</v>
      </c>
      <c r="K157" t="inlineStr">
        <is>
          <t>전자 부품, 컴퓨터, 영상, 음향 및 통신장비 제조업</t>
        </is>
      </c>
      <c r="L157" t="inlineStr">
        <is>
          <t>0</t>
        </is>
      </c>
      <c r="M157" s="3" t="n">
        <v>0.956</v>
      </c>
      <c r="N157" t="inlineStr">
        <is>
          <t>중립</t>
        </is>
      </c>
    </row>
    <row r="158">
      <c r="A158" s="1" t="inlineStr">
        <is>
          <t>2021-05-17</t>
        </is>
      </c>
      <c r="B158" t="inlineStr">
        <is>
          <t>news</t>
        </is>
      </c>
      <c r="C158" t="inlineStr">
        <is>
          <t>economy</t>
        </is>
      </c>
      <c r="D158" t="inlineStr">
        <is>
          <t>비즈니스워치</t>
        </is>
      </c>
      <c r="E158" t="inlineStr"/>
      <c r="F158" t="inlineStr">
        <is>
          <t>금융권, ESG 경영 외치지만 'E'만 보이는 이유</t>
        </is>
      </c>
      <c r="G158" s="2">
        <f>HYPERLINK("http://news.bizwatch.co.kr/article/finance/2021/05/17/0020", "Go to Website")</f>
        <v/>
      </c>
      <c r="H158" t="inlineStr"/>
      <c r="I158" t="inlineStr">
        <is>
          <t>K64</t>
        </is>
      </c>
      <c r="J158" s="3" t="n">
        <v>0.504</v>
      </c>
      <c r="K158" t="inlineStr">
        <is>
          <t>금융업</t>
        </is>
      </c>
      <c r="L158" t="inlineStr"/>
      <c r="M158" t="inlineStr"/>
      <c r="N158" t="inlineStr"/>
    </row>
    <row r="159">
      <c r="A159" s="1" t="inlineStr">
        <is>
          <t>2021-05-17</t>
        </is>
      </c>
      <c r="B159" t="inlineStr">
        <is>
          <t>news</t>
        </is>
      </c>
      <c r="C159" t="inlineStr">
        <is>
          <t>economy</t>
        </is>
      </c>
      <c r="D159" t="inlineStr">
        <is>
          <t>연합뉴스</t>
        </is>
      </c>
      <c r="E159" t="inlineStr">
        <is>
          <t>전창해</t>
        </is>
      </c>
      <c r="F159" t="inlineStr">
        <is>
          <t>충북도 수소차 살 때 3천350만원 지원…연내 1천86대 보급</t>
        </is>
      </c>
      <c r="G159" s="2">
        <f>HYPERLINK("http://yna.kr/AKR20210517080000064?did=1195m", "Go to Website")</f>
        <v/>
      </c>
      <c r="H159" t="inlineStr"/>
      <c r="I159" t="inlineStr">
        <is>
          <t>H49</t>
        </is>
      </c>
      <c r="J159" s="3" t="n">
        <v>0.926</v>
      </c>
      <c r="K159" t="inlineStr">
        <is>
          <t>육상 운송 및 파이프라인 운송업</t>
        </is>
      </c>
      <c r="L159" t="inlineStr">
        <is>
          <t>0</t>
        </is>
      </c>
      <c r="M159" s="3" t="n">
        <v>0.98</v>
      </c>
      <c r="N159" t="inlineStr">
        <is>
          <t>중립</t>
        </is>
      </c>
    </row>
    <row r="160">
      <c r="A160" s="1" t="inlineStr">
        <is>
          <t>2021-05-17</t>
        </is>
      </c>
      <c r="B160" t="inlineStr">
        <is>
          <t>news</t>
        </is>
      </c>
      <c r="C160" t="inlineStr">
        <is>
          <t>economy</t>
        </is>
      </c>
      <c r="D160" t="inlineStr">
        <is>
          <t>데일리안</t>
        </is>
      </c>
      <c r="E160" t="inlineStr">
        <is>
          <t>박영국</t>
        </is>
      </c>
      <c r="F160" t="inlineStr">
        <is>
          <t>현대차·기아 노조, 임단협 앞두고 미국 투자 반발…진통 예상</t>
        </is>
      </c>
      <c r="G160" s="2">
        <f>HYPERLINK("https://www.dailian.co.kr/news/view/991991/", "Go to Website")</f>
        <v/>
      </c>
      <c r="H160" t="inlineStr"/>
      <c r="I160" t="inlineStr">
        <is>
          <t>C30</t>
        </is>
      </c>
      <c r="J160" s="3" t="n">
        <v>1</v>
      </c>
      <c r="K160" t="inlineStr">
        <is>
          <t>자동차 및 트레일러 제조업</t>
        </is>
      </c>
      <c r="L160" t="inlineStr"/>
      <c r="M160" t="inlineStr"/>
      <c r="N160" t="inlineStr"/>
    </row>
    <row r="161">
      <c r="A161" s="1" t="inlineStr">
        <is>
          <t>2021-05-17</t>
        </is>
      </c>
      <c r="B161" t="inlineStr">
        <is>
          <t>news</t>
        </is>
      </c>
      <c r="C161" t="inlineStr">
        <is>
          <t>economy</t>
        </is>
      </c>
      <c r="D161" t="inlineStr">
        <is>
          <t>헤럴드경제</t>
        </is>
      </c>
      <c r="E161" t="inlineStr">
        <is>
          <t>정찬수</t>
        </is>
      </c>
      <c r="F161" t="inlineStr">
        <is>
          <t>반도체 쇼티지 확산...자동차 ‘6월 위기설’</t>
        </is>
      </c>
      <c r="G161" s="2">
        <f>HYPERLINK("http://news.heraldcorp.com/view.php?ud=20210517000409", "Go to Website")</f>
        <v/>
      </c>
      <c r="H161" t="inlineStr"/>
      <c r="I161" t="inlineStr">
        <is>
          <t>100</t>
        </is>
      </c>
      <c r="J161" s="3" t="n">
        <v>0.311</v>
      </c>
      <c r="K161" t="inlineStr">
        <is>
          <t>분류 제외, 기타</t>
        </is>
      </c>
      <c r="L161" t="inlineStr"/>
      <c r="M161" t="inlineStr"/>
      <c r="N161" t="inlineStr"/>
    </row>
    <row r="162">
      <c r="A162" s="1" t="inlineStr">
        <is>
          <t>2021-05-17</t>
        </is>
      </c>
      <c r="B162" t="inlineStr">
        <is>
          <t>news</t>
        </is>
      </c>
      <c r="C162" t="inlineStr">
        <is>
          <t>economy</t>
        </is>
      </c>
      <c r="D162" t="inlineStr">
        <is>
          <t>KBS</t>
        </is>
      </c>
      <c r="E162" t="inlineStr"/>
      <c r="F162" t="inlineStr">
        <is>
          <t>정부 “미 인플레 우려 다시 부각…환율분야 협의 등 지속”</t>
        </is>
      </c>
      <c r="G162" s="2">
        <f>HYPERLINK("https://news.kbs.co.kr/news/view.do?ncd=5187324&amp;ref=A", "Go to Website")</f>
        <v/>
      </c>
      <c r="H162" t="inlineStr"/>
      <c r="I162" t="inlineStr">
        <is>
          <t>100</t>
        </is>
      </c>
      <c r="J162" s="3" t="n">
        <v>0.491</v>
      </c>
      <c r="K162" t="inlineStr">
        <is>
          <t>분류 제외, 기타</t>
        </is>
      </c>
      <c r="L162" t="inlineStr"/>
      <c r="M162" t="inlineStr"/>
      <c r="N162" t="inlineStr"/>
    </row>
    <row r="163">
      <c r="A163" s="1" t="inlineStr">
        <is>
          <t>2021-05-17</t>
        </is>
      </c>
      <c r="B163" t="inlineStr">
        <is>
          <t>news</t>
        </is>
      </c>
      <c r="C163" t="inlineStr">
        <is>
          <t>economy</t>
        </is>
      </c>
      <c r="D163" t="inlineStr">
        <is>
          <t>부산일보</t>
        </is>
      </c>
      <c r="E163" t="inlineStr">
        <is>
          <t>송현수</t>
        </is>
      </c>
      <c r="F163" t="inlineStr">
        <is>
          <t>미래차 전환 속도내는 부품업계…"기업 특성에 맞는 지원 필요"</t>
        </is>
      </c>
      <c r="G163" s="2">
        <f>HYPERLINK("http://www.busan.com/view/busan/view.php?code=2021051707463515119", "Go to Website")</f>
        <v/>
      </c>
      <c r="H163" t="inlineStr"/>
      <c r="I163" t="inlineStr">
        <is>
          <t>M71</t>
        </is>
      </c>
      <c r="J163" s="3" t="n">
        <v>0.396</v>
      </c>
      <c r="K163" t="inlineStr">
        <is>
          <t>전문 서비스업</t>
        </is>
      </c>
      <c r="L163" t="inlineStr"/>
      <c r="M163" t="inlineStr"/>
      <c r="N163" t="inlineStr"/>
    </row>
    <row r="164">
      <c r="A164" s="1" t="inlineStr">
        <is>
          <t>2021-05-17</t>
        </is>
      </c>
      <c r="B164" t="inlineStr">
        <is>
          <t>news</t>
        </is>
      </c>
      <c r="C164" t="inlineStr">
        <is>
          <t>economy</t>
        </is>
      </c>
      <c r="D164" t="inlineStr">
        <is>
          <t>이데일리</t>
        </is>
      </c>
      <c r="E164" t="inlineStr">
        <is>
          <t>이명철</t>
        </is>
      </c>
      <c r="F164" t="inlineStr">
        <is>
          <t>정부 “美 바이든 행정부發 세제 인상·금리 상승 대응”</t>
        </is>
      </c>
      <c r="G164" s="2">
        <f>HYPERLINK("http://www.edaily.co.kr/news/newspath.asp?newsid=01886006629049904", "Go to Website")</f>
        <v/>
      </c>
      <c r="H164" t="inlineStr"/>
      <c r="I164" t="inlineStr">
        <is>
          <t>C21</t>
        </is>
      </c>
      <c r="J164" s="3" t="n">
        <v>0.5600000000000001</v>
      </c>
      <c r="K164" t="inlineStr">
        <is>
          <t>의료용 물질 및 의약품 제조업</t>
        </is>
      </c>
      <c r="L164" t="inlineStr"/>
      <c r="M164" t="inlineStr"/>
      <c r="N164" t="inlineStr"/>
    </row>
    <row r="165">
      <c r="A165" s="1" t="inlineStr">
        <is>
          <t>2021-05-17</t>
        </is>
      </c>
      <c r="B165" t="inlineStr">
        <is>
          <t>news</t>
        </is>
      </c>
      <c r="C165" t="inlineStr">
        <is>
          <t>economy</t>
        </is>
      </c>
      <c r="D165" t="inlineStr">
        <is>
          <t>뉴시스</t>
        </is>
      </c>
      <c r="E165" t="inlineStr">
        <is>
          <t>박영주</t>
        </is>
      </c>
      <c r="F165" t="inlineStr">
        <is>
          <t>정부 "美 재정정책, 금리인상·인플레 우려…필요시 시장안정조치"</t>
        </is>
      </c>
      <c r="G165" s="2">
        <f>HYPERLINK("http://www.newsis.com/view/?id=NISX20210517_0001443387&amp;cID=10401&amp;pID=10400", "Go to Website")</f>
        <v/>
      </c>
      <c r="H165" t="inlineStr"/>
      <c r="I165" t="inlineStr">
        <is>
          <t>100</t>
        </is>
      </c>
      <c r="J165" s="3" t="n">
        <v>0.661</v>
      </c>
      <c r="K165" t="inlineStr">
        <is>
          <t>분류 제외, 기타</t>
        </is>
      </c>
      <c r="L165" t="inlineStr"/>
      <c r="M165" t="inlineStr"/>
      <c r="N165" t="inlineStr"/>
    </row>
    <row r="166">
      <c r="A166" s="1" t="inlineStr">
        <is>
          <t>2021-05-17</t>
        </is>
      </c>
      <c r="B166" t="inlineStr">
        <is>
          <t>news</t>
        </is>
      </c>
      <c r="C166" t="inlineStr">
        <is>
          <t>economy</t>
        </is>
      </c>
      <c r="D166" t="inlineStr">
        <is>
          <t>연합뉴스</t>
        </is>
      </c>
      <c r="E166" t="inlineStr">
        <is>
          <t>박용주</t>
        </is>
      </c>
      <c r="F166" t="inlineStr">
        <is>
          <t>정부 "미국 금리 인상시 한국 가계부채에 부담줄 수도"</t>
        </is>
      </c>
      <c r="G166" s="2">
        <f>HYPERLINK("http://yna.kr/AKR20210517043200002?did=1195m", "Go to Website")</f>
        <v/>
      </c>
      <c r="H166" t="inlineStr"/>
      <c r="I166" t="inlineStr">
        <is>
          <t>K64</t>
        </is>
      </c>
      <c r="J166" s="3" t="n">
        <v>0.842</v>
      </c>
      <c r="K166" t="inlineStr">
        <is>
          <t>금융업</t>
        </is>
      </c>
      <c r="L166" t="inlineStr"/>
      <c r="M166" t="inlineStr"/>
      <c r="N166" t="inlineStr"/>
    </row>
    <row r="167">
      <c r="A167" s="1" t="inlineStr">
        <is>
          <t>2021-05-17</t>
        </is>
      </c>
      <c r="B167" t="inlineStr">
        <is>
          <t>news</t>
        </is>
      </c>
      <c r="C167" t="inlineStr">
        <is>
          <t>economy</t>
        </is>
      </c>
      <c r="D167" t="inlineStr">
        <is>
          <t>한경비즈니스</t>
        </is>
      </c>
      <c r="E167" t="inlineStr">
        <is>
          <t>유호승</t>
        </is>
      </c>
      <c r="F167" t="inlineStr">
        <is>
          <t>“2030년까지 시스템 반도체에 171조원 투자”...삼성전자의 초격차 전략 가속화</t>
        </is>
      </c>
      <c r="G167" s="2">
        <f>HYPERLINK("https://magazine.hankyung.com/business/article/202105130983b", "Go to Website")</f>
        <v/>
      </c>
      <c r="H167" t="inlineStr"/>
      <c r="I167" t="inlineStr">
        <is>
          <t>C26</t>
        </is>
      </c>
      <c r="J167" s="3" t="n">
        <v>1</v>
      </c>
      <c r="K167" t="inlineStr">
        <is>
          <t>전자 부품, 컴퓨터, 영상, 음향 및 통신장비 제조업</t>
        </is>
      </c>
      <c r="L167" t="inlineStr">
        <is>
          <t>1</t>
        </is>
      </c>
      <c r="M167" s="3" t="n">
        <v>0.733</v>
      </c>
      <c r="N167" t="inlineStr">
        <is>
          <t>긍정</t>
        </is>
      </c>
    </row>
    <row r="168">
      <c r="A168" s="1" t="inlineStr">
        <is>
          <t>2021-05-17</t>
        </is>
      </c>
      <c r="B168" t="inlineStr">
        <is>
          <t>news</t>
        </is>
      </c>
      <c r="C168" t="inlineStr">
        <is>
          <t>economy</t>
        </is>
      </c>
      <c r="D168" t="inlineStr">
        <is>
          <t>아시아경제</t>
        </is>
      </c>
      <c r="E168" t="inlineStr">
        <is>
          <t>이창환</t>
        </is>
      </c>
      <c r="F168" t="inlineStr">
        <is>
          <t>"미래차 전환하는 車부품업계에 지원책 필요"</t>
        </is>
      </c>
      <c r="G168" s="2">
        <f>HYPERLINK("https://view.asiae.co.kr/article/2021051706595700612", "Go to Website")</f>
        <v/>
      </c>
      <c r="H168" t="inlineStr"/>
      <c r="I168" t="inlineStr">
        <is>
          <t>100</t>
        </is>
      </c>
      <c r="J168" s="3" t="n">
        <v>0.553</v>
      </c>
      <c r="K168" t="inlineStr">
        <is>
          <t>분류 제외, 기타</t>
        </is>
      </c>
      <c r="L168" t="inlineStr"/>
      <c r="M168" t="inlineStr"/>
      <c r="N168" t="inlineStr"/>
    </row>
    <row r="169">
      <c r="A169" s="1" t="inlineStr">
        <is>
          <t>2021-05-17</t>
        </is>
      </c>
      <c r="B169" t="inlineStr">
        <is>
          <t>news</t>
        </is>
      </c>
      <c r="C169" t="inlineStr">
        <is>
          <t>economy</t>
        </is>
      </c>
      <c r="D169" t="inlineStr">
        <is>
          <t>연합뉴스</t>
        </is>
      </c>
      <c r="E169" t="inlineStr">
        <is>
          <t>권희원</t>
        </is>
      </c>
      <c r="F169" t="inlineStr">
        <is>
          <t>미래차 전환 속도내는 부품업계…"기업 특성에 맞는 지원 필요"</t>
        </is>
      </c>
      <c r="G169" s="2">
        <f>HYPERLINK("http://yna.kr/AKR20210516041300003?did=1195m", "Go to Website")</f>
        <v/>
      </c>
      <c r="H169" t="inlineStr"/>
      <c r="I169" t="inlineStr">
        <is>
          <t>C30</t>
        </is>
      </c>
      <c r="J169" s="3" t="n">
        <v>0.491</v>
      </c>
      <c r="K169" t="inlineStr">
        <is>
          <t>자동차 및 트레일러 제조업</t>
        </is>
      </c>
      <c r="L169" t="inlineStr"/>
      <c r="M169" t="inlineStr"/>
      <c r="N169" t="inlineStr"/>
    </row>
    <row r="170">
      <c r="A170" s="1" t="inlineStr">
        <is>
          <t>2021-05-17</t>
        </is>
      </c>
      <c r="B170" t="inlineStr">
        <is>
          <t>news</t>
        </is>
      </c>
      <c r="C170" t="inlineStr">
        <is>
          <t>economy</t>
        </is>
      </c>
      <c r="D170" t="inlineStr">
        <is>
          <t>머니투데이</t>
        </is>
      </c>
      <c r="E170" t="inlineStr">
        <is>
          <t>최민경</t>
        </is>
      </c>
      <c r="F170" t="inlineStr">
        <is>
          <t>현대오일뱅크, 수소기업 변신…"매일 넥쏘 600대 충전 가능"</t>
        </is>
      </c>
      <c r="G170" s="2">
        <f>HYPERLINK("http://news.mt.co.kr/mtview.php?no=2021051617070639627", "Go to Website")</f>
        <v/>
      </c>
      <c r="H170" t="inlineStr"/>
      <c r="I170" t="inlineStr">
        <is>
          <t>100</t>
        </is>
      </c>
      <c r="J170" s="3" t="n">
        <v>1</v>
      </c>
      <c r="K170" t="inlineStr">
        <is>
          <t>분류 제외, 기타</t>
        </is>
      </c>
      <c r="L170" t="inlineStr">
        <is>
          <t>1</t>
        </is>
      </c>
      <c r="M170" s="3" t="n">
        <v>0.573</v>
      </c>
      <c r="N170" t="inlineStr">
        <is>
          <t>긍정</t>
        </is>
      </c>
    </row>
    <row r="171">
      <c r="A171" s="1" t="inlineStr">
        <is>
          <t>2021-05-17</t>
        </is>
      </c>
      <c r="B171" t="inlineStr">
        <is>
          <t>news</t>
        </is>
      </c>
      <c r="C171" t="inlineStr">
        <is>
          <t>economy</t>
        </is>
      </c>
      <c r="D171" t="inlineStr">
        <is>
          <t>머니투데이</t>
        </is>
      </c>
      <c r="E171" t="inlineStr">
        <is>
          <t>박계현</t>
        </is>
      </c>
      <c r="F171" t="inlineStr">
        <is>
          <t>머니투데이 오프라인 헤드라인-17일자</t>
        </is>
      </c>
      <c r="G171" s="2">
        <f>HYPERLINK("http://news.mt.co.kr/mtview.php?no=2021051621040750568", "Go to Website")</f>
        <v/>
      </c>
      <c r="H171" t="inlineStr"/>
      <c r="I171" t="inlineStr">
        <is>
          <t>100</t>
        </is>
      </c>
      <c r="J171" s="3" t="n">
        <v>1</v>
      </c>
      <c r="K171" t="inlineStr">
        <is>
          <t>분류 제외, 기타</t>
        </is>
      </c>
      <c r="L171" t="inlineStr"/>
      <c r="M171" t="inlineStr"/>
      <c r="N171" t="inlineStr"/>
    </row>
    <row r="172">
      <c r="A172" s="1" t="inlineStr">
        <is>
          <t>2021-05-17</t>
        </is>
      </c>
      <c r="B172" t="inlineStr">
        <is>
          <t>news</t>
        </is>
      </c>
      <c r="C172" t="inlineStr">
        <is>
          <t>economy</t>
        </is>
      </c>
      <c r="D172" t="inlineStr">
        <is>
          <t>동아일보</t>
        </is>
      </c>
      <c r="E172" t="inlineStr">
        <is>
          <t>변종국</t>
        </is>
      </c>
      <c r="F172" t="inlineStr">
        <is>
          <t>세계 車업계 올해 매출 손실 125조 이를 듯</t>
        </is>
      </c>
      <c r="G172" s="2">
        <f>HYPERLINK("https://www.donga.com/news/article/all/20210516/106967862/1", "Go to Website")</f>
        <v/>
      </c>
      <c r="H172" t="inlineStr"/>
      <c r="I172" t="inlineStr">
        <is>
          <t>C30</t>
        </is>
      </c>
      <c r="J172" s="3" t="n">
        <v>0.709</v>
      </c>
      <c r="K172" t="inlineStr">
        <is>
          <t>자동차 및 트레일러 제조업</t>
        </is>
      </c>
      <c r="L172" t="inlineStr"/>
      <c r="M172" t="inlineStr"/>
      <c r="N172" t="inlineStr"/>
    </row>
    <row r="173">
      <c r="A173" s="1" t="inlineStr">
        <is>
          <t>2021-05-16</t>
        </is>
      </c>
      <c r="B173" t="inlineStr">
        <is>
          <t>news</t>
        </is>
      </c>
      <c r="C173" t="inlineStr">
        <is>
          <t>economy</t>
        </is>
      </c>
      <c r="D173" t="inlineStr">
        <is>
          <t>파이낸셜뉴스</t>
        </is>
      </c>
      <c r="E173" t="inlineStr">
        <is>
          <t>강구귀</t>
        </is>
      </c>
      <c r="F173" t="inlineStr">
        <is>
          <t>수소 에너지 성장 주목… 빅데이터 활용해 유망기업 발굴·투자 [이런 펀드 어때요?]</t>
        </is>
      </c>
      <c r="G173" s="2">
        <f>HYPERLINK("http://www.fnnews.com/news/202105161747196355", "Go to Website")</f>
        <v/>
      </c>
      <c r="H173" t="inlineStr"/>
      <c r="I173" t="inlineStr">
        <is>
          <t>K64</t>
        </is>
      </c>
      <c r="J173" s="3" t="n">
        <v>0.952</v>
      </c>
      <c r="K173" t="inlineStr">
        <is>
          <t>금융업</t>
        </is>
      </c>
      <c r="L173" t="inlineStr"/>
      <c r="M173" t="inlineStr"/>
      <c r="N173" t="inlineStr"/>
    </row>
    <row r="174">
      <c r="A174" s="1" t="inlineStr">
        <is>
          <t>2021-05-16</t>
        </is>
      </c>
      <c r="B174" t="inlineStr">
        <is>
          <t>news</t>
        </is>
      </c>
      <c r="C174" t="inlineStr">
        <is>
          <t>economy</t>
        </is>
      </c>
      <c r="D174" t="inlineStr">
        <is>
          <t>서울경제</t>
        </is>
      </c>
      <c r="E174" t="inlineStr">
        <is>
          <t>김우보</t>
        </is>
      </c>
      <c r="F174" t="inlineStr">
        <is>
          <t>韓, 민간 'K수소위' 전폭 지원해야...생산·운송 등 밸류체인 구축 절실</t>
        </is>
      </c>
      <c r="G174" s="2">
        <f>HYPERLINK("https://www.sedaily.com/NewsView/22MDTE41B7", "Go to Website")</f>
        <v/>
      </c>
      <c r="H174" t="inlineStr"/>
      <c r="I174" t="inlineStr">
        <is>
          <t>K64</t>
        </is>
      </c>
      <c r="J174" s="3" t="n">
        <v>0.437</v>
      </c>
      <c r="K174" t="inlineStr">
        <is>
          <t>금융업</t>
        </is>
      </c>
      <c r="L174" t="inlineStr"/>
      <c r="M174" t="inlineStr"/>
      <c r="N174" t="inlineStr"/>
    </row>
    <row r="175">
      <c r="A175" s="1" t="inlineStr">
        <is>
          <t>2021-05-16</t>
        </is>
      </c>
      <c r="B175" t="inlineStr">
        <is>
          <t>news</t>
        </is>
      </c>
      <c r="C175" t="inlineStr">
        <is>
          <t>economy</t>
        </is>
      </c>
      <c r="D175" t="inlineStr">
        <is>
          <t>서울경제</t>
        </is>
      </c>
      <c r="E175" t="inlineStr">
        <is>
          <t>김우보</t>
        </is>
      </c>
      <c r="F175" t="inlineStr">
        <is>
          <t>"수소, 저탄소 대응하는 만능 솔루션...그린수소 선점 놓고 생존경쟁 치열할 것"</t>
        </is>
      </c>
      <c r="G175" s="2">
        <f>HYPERLINK("https://www.sedaily.com/NewsView/22MDT29GKO", "Go to Website")</f>
        <v/>
      </c>
      <c r="H175" t="inlineStr"/>
      <c r="I175" t="inlineStr">
        <is>
          <t>C30</t>
        </is>
      </c>
      <c r="J175" s="3" t="n">
        <v>0.428</v>
      </c>
      <c r="K175" t="inlineStr">
        <is>
          <t>자동차 및 트레일러 제조업</t>
        </is>
      </c>
      <c r="L175" t="inlineStr"/>
      <c r="M175" t="inlineStr"/>
      <c r="N175" t="inlineStr"/>
    </row>
    <row r="176">
      <c r="A176" s="1" t="inlineStr">
        <is>
          <t>2021-05-16</t>
        </is>
      </c>
      <c r="B176" t="inlineStr">
        <is>
          <t>news</t>
        </is>
      </c>
      <c r="C176" t="inlineStr">
        <is>
          <t>economy</t>
        </is>
      </c>
      <c r="D176" t="inlineStr">
        <is>
          <t>머니투데이</t>
        </is>
      </c>
      <c r="E176" t="inlineStr">
        <is>
          <t>최민경</t>
        </is>
      </c>
      <c r="F176" t="inlineStr">
        <is>
          <t>순도 99.999% 블루수소 '개봉박두'…"매일 넥소 600대 충전"</t>
        </is>
      </c>
      <c r="G176" s="2">
        <f>HYPERLINK("http://news.mt.co.kr/mtview.php?no=2021051616213537459", "Go to Website")</f>
        <v/>
      </c>
      <c r="H176" t="inlineStr"/>
      <c r="I176" t="inlineStr">
        <is>
          <t>100</t>
        </is>
      </c>
      <c r="J176" s="3" t="n">
        <v>0.999</v>
      </c>
      <c r="K176" t="inlineStr">
        <is>
          <t>분류 제외, 기타</t>
        </is>
      </c>
      <c r="L176" t="inlineStr">
        <is>
          <t>0</t>
        </is>
      </c>
      <c r="M176" s="3" t="n">
        <v>0.5610000000000001</v>
      </c>
      <c r="N176" t="inlineStr">
        <is>
          <t>중립</t>
        </is>
      </c>
    </row>
    <row r="177">
      <c r="A177" s="1" t="inlineStr">
        <is>
          <t>2021-05-16</t>
        </is>
      </c>
      <c r="B177" t="inlineStr">
        <is>
          <t>news</t>
        </is>
      </c>
      <c r="C177" t="inlineStr">
        <is>
          <t>economy</t>
        </is>
      </c>
      <c r="D177" t="inlineStr">
        <is>
          <t>전자신문</t>
        </is>
      </c>
      <c r="E177" t="inlineStr">
        <is>
          <t>윤희석</t>
        </is>
      </c>
      <c r="F177" t="inlineStr">
        <is>
          <t>4월 車 수출, 2개월 연속 40억불 돌파…내수도 선방</t>
        </is>
      </c>
      <c r="G177" s="2">
        <f>HYPERLINK("http://www.etnews.com/20210516000008", "Go to Website")</f>
        <v/>
      </c>
      <c r="H177" t="inlineStr"/>
      <c r="I177" t="inlineStr">
        <is>
          <t>100</t>
        </is>
      </c>
      <c r="J177" s="3" t="n">
        <v>0.997</v>
      </c>
      <c r="K177" t="inlineStr">
        <is>
          <t>분류 제외, 기타</t>
        </is>
      </c>
      <c r="L177" t="inlineStr"/>
      <c r="M177" t="inlineStr"/>
      <c r="N177" t="inlineStr"/>
    </row>
    <row r="178">
      <c r="A178" s="1" t="inlineStr">
        <is>
          <t>2021-05-16</t>
        </is>
      </c>
      <c r="B178" t="inlineStr">
        <is>
          <t>news</t>
        </is>
      </c>
      <c r="C178" t="inlineStr">
        <is>
          <t>economy</t>
        </is>
      </c>
      <c r="D178" t="inlineStr">
        <is>
          <t>뉴스1</t>
        </is>
      </c>
      <c r="E178" t="inlineStr">
        <is>
          <t>나혜윤</t>
        </is>
      </c>
      <c r="F178" t="inlineStr">
        <is>
          <t>車반도체 수급난에도 자동차산업 생산·수출 '호조세'…수출 52.8% 증가</t>
        </is>
      </c>
      <c r="G178" s="2">
        <f>HYPERLINK("https://www.news1.kr/articles/?4307619", "Go to Website")</f>
        <v/>
      </c>
      <c r="H178" t="inlineStr"/>
      <c r="I178" t="inlineStr">
        <is>
          <t>C26</t>
        </is>
      </c>
      <c r="J178" s="3" t="n">
        <v>0.466</v>
      </c>
      <c r="K178" t="inlineStr">
        <is>
          <t>전자 부품, 컴퓨터, 영상, 음향 및 통신장비 제조업</t>
        </is>
      </c>
      <c r="L178" t="inlineStr"/>
      <c r="M178" t="inlineStr"/>
      <c r="N178" t="inlineStr"/>
    </row>
    <row r="179">
      <c r="A179" s="1" t="inlineStr">
        <is>
          <t>2021-05-16</t>
        </is>
      </c>
      <c r="B179" t="inlineStr">
        <is>
          <t>news</t>
        </is>
      </c>
      <c r="C179" t="inlineStr">
        <is>
          <t>economy</t>
        </is>
      </c>
      <c r="D179" t="inlineStr">
        <is>
          <t>머니투데이</t>
        </is>
      </c>
      <c r="E179" t="inlineStr">
        <is>
          <t>안재용</t>
        </is>
      </c>
      <c r="F179" t="inlineStr">
        <is>
          <t>차량용반도체 부족에도…車수출 50% 늘었다</t>
        </is>
      </c>
      <c r="G179" s="2">
        <f>HYPERLINK("http://news.mt.co.kr/mtview.php?no=2021051610272570712", "Go to Website")</f>
        <v/>
      </c>
      <c r="H179" t="inlineStr"/>
      <c r="I179" t="inlineStr">
        <is>
          <t>C26</t>
        </is>
      </c>
      <c r="J179" s="3" t="n">
        <v>0.348</v>
      </c>
      <c r="K179" t="inlineStr">
        <is>
          <t>전자 부품, 컴퓨터, 영상, 음향 및 통신장비 제조업</t>
        </is>
      </c>
      <c r="L179" t="inlineStr">
        <is>
          <t>1</t>
        </is>
      </c>
      <c r="M179" s="3" t="n">
        <v>0.781</v>
      </c>
      <c r="N179" t="inlineStr">
        <is>
          <t>긍정</t>
        </is>
      </c>
    </row>
    <row r="180">
      <c r="A180" s="1" t="inlineStr">
        <is>
          <t>2021-05-16</t>
        </is>
      </c>
      <c r="B180" t="inlineStr">
        <is>
          <t>news</t>
        </is>
      </c>
      <c r="C180" t="inlineStr">
        <is>
          <t>economy</t>
        </is>
      </c>
      <c r="D180" t="inlineStr">
        <is>
          <t>데일리안</t>
        </is>
      </c>
      <c r="E180" t="inlineStr">
        <is>
          <t>장정욱</t>
        </is>
      </c>
      <c r="F180" t="inlineStr">
        <is>
          <t>공장은 멈춰도 바퀴는 굴렀다… 4월 자동차 생산·수출 모두 늘어</t>
        </is>
      </c>
      <c r="G180" s="2">
        <f>HYPERLINK("https://www.dailian.co.kr/news/view/991746/", "Go to Website")</f>
        <v/>
      </c>
      <c r="H180" t="inlineStr"/>
      <c r="I180" t="inlineStr">
        <is>
          <t>100</t>
        </is>
      </c>
      <c r="J180" s="3" t="n">
        <v>0.805</v>
      </c>
      <c r="K180" t="inlineStr">
        <is>
          <t>분류 제외, 기타</t>
        </is>
      </c>
      <c r="L180" t="inlineStr"/>
      <c r="M180" t="inlineStr"/>
      <c r="N180" t="inlineStr"/>
    </row>
    <row r="181">
      <c r="A181" s="1" t="inlineStr">
        <is>
          <t>2021-05-16</t>
        </is>
      </c>
      <c r="B181" t="inlineStr">
        <is>
          <t>news</t>
        </is>
      </c>
      <c r="C181" t="inlineStr">
        <is>
          <t>economy</t>
        </is>
      </c>
      <c r="D181" t="inlineStr">
        <is>
          <t>한겨레</t>
        </is>
      </c>
      <c r="E181" t="inlineStr"/>
      <c r="F181" t="inlineStr">
        <is>
          <t>수소 승용차 월 판매 1천대 첫 돌파</t>
        </is>
      </c>
      <c r="G181" s="2">
        <f>HYPERLINK("http://www.hani.co.kr/arti/economy/economy_general/995352.html", "Go to Website")</f>
        <v/>
      </c>
      <c r="H181" t="inlineStr"/>
      <c r="I181" t="inlineStr">
        <is>
          <t>C30</t>
        </is>
      </c>
      <c r="J181" s="3" t="n">
        <v>0.99</v>
      </c>
      <c r="K181" t="inlineStr">
        <is>
          <t>자동차 및 트레일러 제조업</t>
        </is>
      </c>
      <c r="L181" t="inlineStr"/>
      <c r="M181" t="inlineStr"/>
      <c r="N181" t="inlineStr"/>
    </row>
    <row r="182">
      <c r="A182" s="1" t="inlineStr">
        <is>
          <t>2021-05-15</t>
        </is>
      </c>
      <c r="B182" t="inlineStr">
        <is>
          <t>news</t>
        </is>
      </c>
      <c r="C182" t="inlineStr">
        <is>
          <t>tech</t>
        </is>
      </c>
      <c r="D182" t="inlineStr">
        <is>
          <t>블로터</t>
        </is>
      </c>
      <c r="E182" t="inlineStr">
        <is>
          <t>구태우</t>
        </is>
      </c>
      <c r="F182" t="inlineStr">
        <is>
          <t>[넘버스]현대차 美 '영끌투자', 불확실한 미래에 8조원 건다</t>
        </is>
      </c>
      <c r="G182" s="2">
        <f>HYPERLINK("http://www.bloter.net/newsView/blt202105150001", "Go to Website")</f>
        <v/>
      </c>
      <c r="H182" t="inlineStr"/>
      <c r="I182" t="inlineStr"/>
      <c r="J182" t="inlineStr"/>
      <c r="K182" t="inlineStr"/>
      <c r="L182" t="inlineStr"/>
      <c r="M182" t="inlineStr"/>
      <c r="N182" t="inlineStr"/>
    </row>
    <row r="183">
      <c r="A183" s="1" t="inlineStr">
        <is>
          <t>2021-05-15</t>
        </is>
      </c>
      <c r="B183" t="inlineStr">
        <is>
          <t>news</t>
        </is>
      </c>
      <c r="C183" t="inlineStr">
        <is>
          <t>economy</t>
        </is>
      </c>
      <c r="D183" t="inlineStr">
        <is>
          <t>파이낸셜뉴스</t>
        </is>
      </c>
      <c r="E183" t="inlineStr">
        <is>
          <t>강재웅</t>
        </is>
      </c>
      <c r="F183" t="inlineStr">
        <is>
          <t>라온피플 “1분기 흑자전환, 매출도 50% 급증”</t>
        </is>
      </c>
      <c r="G183" s="2">
        <f>HYPERLINK("http://www.fnnews.com/news/202105142052397846", "Go to Website")</f>
        <v/>
      </c>
      <c r="H183" t="inlineStr"/>
      <c r="I183" t="inlineStr">
        <is>
          <t>C26</t>
        </is>
      </c>
      <c r="J183" s="3" t="n">
        <v>0.65</v>
      </c>
      <c r="K183" t="inlineStr">
        <is>
          <t>전자 부품, 컴퓨터, 영상, 음향 및 통신장비 제조업</t>
        </is>
      </c>
      <c r="L183" t="inlineStr">
        <is>
          <t>1</t>
        </is>
      </c>
      <c r="M183" s="3" t="n">
        <v>0.973</v>
      </c>
      <c r="N183" t="inlineStr">
        <is>
          <t>긍정</t>
        </is>
      </c>
    </row>
    <row r="184">
      <c r="A184" s="1" t="inlineStr">
        <is>
          <t>2021-05-15</t>
        </is>
      </c>
      <c r="B184" t="inlineStr">
        <is>
          <t>news</t>
        </is>
      </c>
      <c r="C184" t="inlineStr">
        <is>
          <t>economy</t>
        </is>
      </c>
      <c r="D184" t="inlineStr">
        <is>
          <t>이데일리</t>
        </is>
      </c>
      <c r="E184" t="inlineStr">
        <is>
          <t>고준혁</t>
        </is>
      </c>
      <c r="F184" t="inlineStr">
        <is>
          <t>[주목!e스몰캡]코프라, 전기차 세대교체? 오히려 좋아!</t>
        </is>
      </c>
      <c r="G184" s="2">
        <f>HYPERLINK("http://www.edaily.co.kr/news/newspath.asp?newsid=01230006629049248", "Go to Website")</f>
        <v/>
      </c>
      <c r="H184" t="inlineStr"/>
      <c r="I184" t="inlineStr">
        <is>
          <t>C20</t>
        </is>
      </c>
      <c r="J184" s="3" t="n">
        <v>0.829</v>
      </c>
      <c r="K184" t="inlineStr">
        <is>
          <t>화학 물질 및 화학제품 제조업; 의약품 제외</t>
        </is>
      </c>
      <c r="L184" t="inlineStr">
        <is>
          <t>0</t>
        </is>
      </c>
      <c r="M184" s="3" t="n">
        <v>0.596</v>
      </c>
      <c r="N184" t="inlineStr">
        <is>
          <t>중립</t>
        </is>
      </c>
    </row>
    <row r="185">
      <c r="A185" s="1" t="inlineStr">
        <is>
          <t>2021-05-15</t>
        </is>
      </c>
      <c r="B185" t="inlineStr">
        <is>
          <t>news</t>
        </is>
      </c>
      <c r="C185" t="inlineStr">
        <is>
          <t>economy</t>
        </is>
      </c>
      <c r="D185" t="inlineStr">
        <is>
          <t>머니투데이</t>
        </is>
      </c>
      <c r="E185" t="inlineStr">
        <is>
          <t>김상준</t>
        </is>
      </c>
      <c r="F185" t="inlineStr">
        <is>
          <t>'더 쉽게, 더 디테일하게'…진화하는 '친환경 금융상품'</t>
        </is>
      </c>
      <c r="G185" s="2">
        <f>HYPERLINK("http://news.mt.co.kr/mtview.php?no=2021051414513260947", "Go to Website")</f>
        <v/>
      </c>
      <c r="H185" t="inlineStr"/>
      <c r="I185" t="inlineStr">
        <is>
          <t>A01</t>
        </is>
      </c>
      <c r="J185" s="3" t="n">
        <v>0.917</v>
      </c>
      <c r="K185" t="inlineStr">
        <is>
          <t>농업</t>
        </is>
      </c>
      <c r="L185" t="inlineStr">
        <is>
          <t>0</t>
        </is>
      </c>
      <c r="M185" s="3" t="n">
        <v>0.998</v>
      </c>
      <c r="N185" t="inlineStr">
        <is>
          <t>중립</t>
        </is>
      </c>
    </row>
    <row r="186">
      <c r="A186" s="1" t="inlineStr">
        <is>
          <t>2021-05-15</t>
        </is>
      </c>
      <c r="B186" t="inlineStr">
        <is>
          <t>news</t>
        </is>
      </c>
      <c r="C186" t="inlineStr">
        <is>
          <t>economy</t>
        </is>
      </c>
      <c r="D186" t="inlineStr">
        <is>
          <t>데일리안</t>
        </is>
      </c>
      <c r="E186" t="inlineStr">
        <is>
          <t>조인영</t>
        </is>
      </c>
      <c r="F186" t="inlineStr">
        <is>
          <t>'10주년' 알뜰주유소, 실효성 논란은 여전</t>
        </is>
      </c>
      <c r="G186" s="2">
        <f>HYPERLINK("https://www.dailian.co.kr/news/view/991597/", "Go to Website")</f>
        <v/>
      </c>
      <c r="H186" t="inlineStr"/>
      <c r="I186" t="inlineStr">
        <is>
          <t>100</t>
        </is>
      </c>
      <c r="J186" s="3" t="n">
        <v>0.402</v>
      </c>
      <c r="K186" t="inlineStr">
        <is>
          <t>분류 제외, 기타</t>
        </is>
      </c>
      <c r="L186" t="inlineStr">
        <is>
          <t>0</t>
        </is>
      </c>
      <c r="M186" s="3" t="n">
        <v>0.653</v>
      </c>
      <c r="N186" t="inlineStr">
        <is>
          <t>중립</t>
        </is>
      </c>
    </row>
    <row r="187">
      <c r="A187" s="1" t="inlineStr">
        <is>
          <t>2021-05-14</t>
        </is>
      </c>
      <c r="B187" t="inlineStr">
        <is>
          <t>news</t>
        </is>
      </c>
      <c r="C187" t="inlineStr">
        <is>
          <t>tech</t>
        </is>
      </c>
      <c r="D187" t="inlineStr">
        <is>
          <t>KBS</t>
        </is>
      </c>
      <c r="E187" t="inlineStr">
        <is>
          <t>양민오</t>
        </is>
      </c>
      <c r="F187" t="inlineStr">
        <is>
          <t>가격 낮추고 수명 극대화한 수소연료전지 촉매</t>
        </is>
      </c>
      <c r="G187" s="2">
        <f>HYPERLINK("https://news.kbs.co.kr/news/view.do?ncd=5186451&amp;ref=A", "Go to Website")</f>
        <v/>
      </c>
      <c r="H187" t="inlineStr"/>
      <c r="I187" t="inlineStr"/>
      <c r="J187" t="inlineStr"/>
      <c r="K187" t="inlineStr"/>
      <c r="L187" t="inlineStr"/>
      <c r="M187" t="inlineStr"/>
      <c r="N187" t="inlineStr"/>
    </row>
    <row r="188">
      <c r="A188" s="1" t="inlineStr">
        <is>
          <t>2021-05-14</t>
        </is>
      </c>
      <c r="B188" t="inlineStr">
        <is>
          <t>news</t>
        </is>
      </c>
      <c r="C188" t="inlineStr">
        <is>
          <t>economy</t>
        </is>
      </c>
      <c r="D188" t="inlineStr">
        <is>
          <t>KBS</t>
        </is>
      </c>
      <c r="E188" t="inlineStr">
        <is>
          <t>황재락</t>
        </is>
      </c>
      <c r="F188" t="inlineStr">
        <is>
          <t>경남의 미래차 부품 개발 도와요!</t>
        </is>
      </c>
      <c r="G188" s="2">
        <f>HYPERLINK("https://news.kbs.co.kr/news/view.do?ncd=5186374&amp;ref=A", "Go to Website")</f>
        <v/>
      </c>
      <c r="H188" t="inlineStr"/>
      <c r="I188" t="inlineStr">
        <is>
          <t>C30</t>
        </is>
      </c>
      <c r="J188" s="3" t="n">
        <v>0.8139999999999999</v>
      </c>
      <c r="K188" t="inlineStr">
        <is>
          <t>자동차 및 트레일러 제조업</t>
        </is>
      </c>
      <c r="L188" t="inlineStr"/>
      <c r="M188" t="inlineStr"/>
      <c r="N188" t="inlineStr"/>
    </row>
    <row r="189">
      <c r="A189" s="1" t="inlineStr">
        <is>
          <t>2021-05-14</t>
        </is>
      </c>
      <c r="B189" t="inlineStr">
        <is>
          <t>news</t>
        </is>
      </c>
      <c r="C189" t="inlineStr">
        <is>
          <t>economy</t>
        </is>
      </c>
      <c r="D189" t="inlineStr">
        <is>
          <t>서울경제</t>
        </is>
      </c>
      <c r="E189" t="inlineStr">
        <is>
          <t>변수연</t>
        </is>
      </c>
      <c r="F189" t="inlineStr">
        <is>
          <t>[5월 반도체 위기 현실화] 이 와중에···현대차 노조, 정년 64세·성과급 30% 요구</t>
        </is>
      </c>
      <c r="G189" s="2">
        <f>HYPERLINK("https://www.sedaily.com/NewsView/22MCWPPZDF", "Go to Website")</f>
        <v/>
      </c>
      <c r="H189" t="inlineStr"/>
      <c r="I189" t="inlineStr">
        <is>
          <t>C30</t>
        </is>
      </c>
      <c r="J189" s="3" t="n">
        <v>0.999</v>
      </c>
      <c r="K189" t="inlineStr">
        <is>
          <t>자동차 및 트레일러 제조업</t>
        </is>
      </c>
      <c r="L189" t="inlineStr">
        <is>
          <t>-1</t>
        </is>
      </c>
      <c r="M189" s="3" t="n">
        <v>0.753</v>
      </c>
      <c r="N189" t="inlineStr">
        <is>
          <t>부정</t>
        </is>
      </c>
    </row>
    <row r="190">
      <c r="A190" s="1" t="inlineStr">
        <is>
          <t>2021-05-14</t>
        </is>
      </c>
      <c r="B190" t="inlineStr">
        <is>
          <t>news</t>
        </is>
      </c>
      <c r="C190" t="inlineStr">
        <is>
          <t>economy</t>
        </is>
      </c>
      <c r="D190" t="inlineStr">
        <is>
          <t>서울경제</t>
        </is>
      </c>
      <c r="E190" t="inlineStr">
        <is>
          <t>변수연</t>
        </is>
      </c>
      <c r="F190" t="inlineStr">
        <is>
          <t>'5월 반도체 위기' 현실화···기아도 첫 휴업</t>
        </is>
      </c>
      <c r="G190" s="2">
        <f>HYPERLINK("https://www.sedaily.com/NewsView/22MCWG4XD6", "Go to Website")</f>
        <v/>
      </c>
      <c r="H190" t="inlineStr"/>
      <c r="I190" t="inlineStr">
        <is>
          <t>C30</t>
        </is>
      </c>
      <c r="J190" s="3" t="n">
        <v>0.988</v>
      </c>
      <c r="K190" t="inlineStr">
        <is>
          <t>자동차 및 트레일러 제조업</t>
        </is>
      </c>
      <c r="L190" t="inlineStr">
        <is>
          <t>-1</t>
        </is>
      </c>
      <c r="M190" s="3" t="n">
        <v>0.989</v>
      </c>
      <c r="N190" t="inlineStr">
        <is>
          <t>부정</t>
        </is>
      </c>
    </row>
    <row r="191">
      <c r="A191" s="1" t="inlineStr">
        <is>
          <t>2021-05-14</t>
        </is>
      </c>
      <c r="B191" t="inlineStr">
        <is>
          <t>news</t>
        </is>
      </c>
      <c r="C191" t="inlineStr">
        <is>
          <t>economy</t>
        </is>
      </c>
      <c r="D191" t="inlineStr">
        <is>
          <t>한국경제TV</t>
        </is>
      </c>
      <c r="E191" t="inlineStr">
        <is>
          <t>송민화</t>
        </is>
      </c>
      <c r="F191" t="inlineStr">
        <is>
          <t>정의선의 현대차, 글로벌 게임체인저로 부상</t>
        </is>
      </c>
      <c r="G191" s="2">
        <f>HYPERLINK("https://www.wowtv.co.kr/NewsCenter/News/Read?articleId=A202105140216&amp;t=NNv", "Go to Website")</f>
        <v/>
      </c>
      <c r="H191" t="inlineStr"/>
      <c r="I191" t="inlineStr">
        <is>
          <t>C30</t>
        </is>
      </c>
      <c r="J191" s="3" t="n">
        <v>0.978</v>
      </c>
      <c r="K191" t="inlineStr">
        <is>
          <t>자동차 및 트레일러 제조업</t>
        </is>
      </c>
      <c r="L191" t="inlineStr">
        <is>
          <t>1</t>
        </is>
      </c>
      <c r="M191" s="3" t="n">
        <v>0.921</v>
      </c>
      <c r="N191" t="inlineStr">
        <is>
          <t>긍정</t>
        </is>
      </c>
    </row>
    <row r="192">
      <c r="A192" s="1" t="inlineStr">
        <is>
          <t>2021-05-14</t>
        </is>
      </c>
      <c r="B192" t="inlineStr">
        <is>
          <t>news</t>
        </is>
      </c>
      <c r="C192" t="inlineStr">
        <is>
          <t>economy</t>
        </is>
      </c>
      <c r="D192" t="inlineStr">
        <is>
          <t>이데일리</t>
        </is>
      </c>
      <c r="E192" t="inlineStr">
        <is>
          <t>권효중</t>
        </is>
      </c>
      <c r="F192" t="inlineStr">
        <is>
          <t>라온피플, 1Q 영업이익 1.8억원…AI 호조로 흑자전환</t>
        </is>
      </c>
      <c r="G192" s="2">
        <f>HYPERLINK("http://www.edaily.co.kr/news/newspath.asp?newsid=02929046629048920", "Go to Website")</f>
        <v/>
      </c>
      <c r="H192" t="inlineStr"/>
      <c r="I192" t="inlineStr">
        <is>
          <t>C26</t>
        </is>
      </c>
      <c r="J192" s="3" t="n">
        <v>0.86</v>
      </c>
      <c r="K192" t="inlineStr">
        <is>
          <t>전자 부품, 컴퓨터, 영상, 음향 및 통신장비 제조업</t>
        </is>
      </c>
      <c r="L192" t="inlineStr">
        <is>
          <t>1</t>
        </is>
      </c>
      <c r="M192" s="3" t="n">
        <v>1</v>
      </c>
      <c r="N192" t="inlineStr">
        <is>
          <t>긍정</t>
        </is>
      </c>
    </row>
    <row r="193">
      <c r="A193" s="1" t="inlineStr">
        <is>
          <t>2021-05-14</t>
        </is>
      </c>
      <c r="B193" t="inlineStr">
        <is>
          <t>news</t>
        </is>
      </c>
      <c r="C193" t="inlineStr">
        <is>
          <t>economy</t>
        </is>
      </c>
      <c r="D193" t="inlineStr">
        <is>
          <t>아시아경제</t>
        </is>
      </c>
      <c r="E193" t="inlineStr">
        <is>
          <t>장효원</t>
        </is>
      </c>
      <c r="F193" t="inlineStr">
        <is>
          <t>라온피플 “1분기 흑자전환, 매출도 50% 급증”</t>
        </is>
      </c>
      <c r="G193" s="2">
        <f>HYPERLINK("https://view.asiae.co.kr/article/2021051415293117831", "Go to Website")</f>
        <v/>
      </c>
      <c r="H193" t="inlineStr"/>
      <c r="I193" t="inlineStr">
        <is>
          <t>C26</t>
        </is>
      </c>
      <c r="J193" s="3" t="n">
        <v>0.65</v>
      </c>
      <c r="K193" t="inlineStr">
        <is>
          <t>전자 부품, 컴퓨터, 영상, 음향 및 통신장비 제조업</t>
        </is>
      </c>
      <c r="L193" t="inlineStr">
        <is>
          <t>1</t>
        </is>
      </c>
      <c r="M193" s="3" t="n">
        <v>0.984</v>
      </c>
      <c r="N193" t="inlineStr">
        <is>
          <t>긍정</t>
        </is>
      </c>
    </row>
    <row r="194">
      <c r="A194" s="1" t="inlineStr">
        <is>
          <t>2021-05-14</t>
        </is>
      </c>
      <c r="B194" t="inlineStr">
        <is>
          <t>news</t>
        </is>
      </c>
      <c r="C194" t="inlineStr">
        <is>
          <t>economy</t>
        </is>
      </c>
      <c r="D194" t="inlineStr">
        <is>
          <t>머니투데이</t>
        </is>
      </c>
      <c r="E194" t="inlineStr">
        <is>
          <t>김건우</t>
        </is>
      </c>
      <c r="F194" t="inlineStr">
        <is>
          <t>라온피플 "1Q 영업익 흑전 성공…매출 60.5억원"</t>
        </is>
      </c>
      <c r="G194" s="2">
        <f>HYPERLINK("http://news.mt.co.kr/mtview.php?no=2021051414531330914", "Go to Website")</f>
        <v/>
      </c>
      <c r="H194" t="inlineStr"/>
      <c r="I194" t="inlineStr">
        <is>
          <t>C26</t>
        </is>
      </c>
      <c r="J194" s="3" t="n">
        <v>0.897</v>
      </c>
      <c r="K194" t="inlineStr">
        <is>
          <t>전자 부품, 컴퓨터, 영상, 음향 및 통신장비 제조업</t>
        </is>
      </c>
      <c r="L194" t="inlineStr">
        <is>
          <t>1</t>
        </is>
      </c>
      <c r="M194" s="3" t="n">
        <v>0.919</v>
      </c>
      <c r="N194" t="inlineStr">
        <is>
          <t>긍정</t>
        </is>
      </c>
    </row>
    <row r="195">
      <c r="A195" s="1" t="inlineStr">
        <is>
          <t>2021-05-14</t>
        </is>
      </c>
      <c r="B195" t="inlineStr">
        <is>
          <t>news</t>
        </is>
      </c>
      <c r="C195" t="inlineStr">
        <is>
          <t>economy</t>
        </is>
      </c>
      <c r="D195" t="inlineStr">
        <is>
          <t>파이낸셜뉴스</t>
        </is>
      </c>
      <c r="E195" t="inlineStr">
        <is>
          <t>김정호</t>
        </is>
      </c>
      <c r="F195" t="inlineStr">
        <is>
          <t>라온피플 "1분기 흑자전환…AI 머신비전 매출 급증"</t>
        </is>
      </c>
      <c r="G195" s="2">
        <f>HYPERLINK("http://www.fnnews.com/news/202105141427127822", "Go to Website")</f>
        <v/>
      </c>
      <c r="H195" t="inlineStr"/>
      <c r="I195" t="inlineStr">
        <is>
          <t>C26</t>
        </is>
      </c>
      <c r="J195" s="3" t="n">
        <v>0.89</v>
      </c>
      <c r="K195" t="inlineStr">
        <is>
          <t>전자 부품, 컴퓨터, 영상, 음향 및 통신장비 제조업</t>
        </is>
      </c>
      <c r="L195" t="inlineStr">
        <is>
          <t>1</t>
        </is>
      </c>
      <c r="M195" s="3" t="n">
        <v>0.98</v>
      </c>
      <c r="N195" t="inlineStr">
        <is>
          <t>긍정</t>
        </is>
      </c>
    </row>
    <row r="196">
      <c r="A196" s="1" t="inlineStr">
        <is>
          <t>2021-05-14</t>
        </is>
      </c>
      <c r="B196" t="inlineStr">
        <is>
          <t>news</t>
        </is>
      </c>
      <c r="C196" t="inlineStr">
        <is>
          <t>economy</t>
        </is>
      </c>
      <c r="D196" t="inlineStr">
        <is>
          <t>연합뉴스</t>
        </is>
      </c>
      <c r="E196" t="inlineStr">
        <is>
          <t>김인유</t>
        </is>
      </c>
      <c r="F196" t="inlineStr">
        <is>
          <t>용인시, 2025년까지 2천400억 투입해 미세먼지농도 41% 저감</t>
        </is>
      </c>
      <c r="G196" s="2">
        <f>HYPERLINK("http://yna.kr/AKR20210514071700061?did=1195m", "Go to Website")</f>
        <v/>
      </c>
      <c r="H196" t="inlineStr"/>
      <c r="I196" t="inlineStr">
        <is>
          <t>Q86</t>
        </is>
      </c>
      <c r="J196" s="3" t="n">
        <v>0.458</v>
      </c>
      <c r="K196" t="inlineStr">
        <is>
          <t>보건업</t>
        </is>
      </c>
      <c r="L196" t="inlineStr"/>
      <c r="M196" t="inlineStr"/>
      <c r="N196" t="inlineStr"/>
    </row>
    <row r="197">
      <c r="A197" s="1" t="inlineStr">
        <is>
          <t>2021-05-14</t>
        </is>
      </c>
      <c r="B197" t="inlineStr">
        <is>
          <t>news</t>
        </is>
      </c>
      <c r="C197" t="inlineStr">
        <is>
          <t>economy</t>
        </is>
      </c>
      <c r="D197" t="inlineStr">
        <is>
          <t>헤럴드경제</t>
        </is>
      </c>
      <c r="E197" t="inlineStr">
        <is>
          <t>정찬수</t>
        </is>
      </c>
      <c r="F197" t="inlineStr">
        <is>
          <t>기아도 가동 중단...‘반도체 쇼티지’ 확산</t>
        </is>
      </c>
      <c r="G197" s="2">
        <f>HYPERLINK("http://news.heraldcorp.com/view.php?ud=20210514000531", "Go to Website")</f>
        <v/>
      </c>
      <c r="H197" t="inlineStr"/>
      <c r="I197" t="inlineStr">
        <is>
          <t>C30</t>
        </is>
      </c>
      <c r="J197" s="3" t="n">
        <v>0.967</v>
      </c>
      <c r="K197" t="inlineStr">
        <is>
          <t>자동차 및 트레일러 제조업</t>
        </is>
      </c>
      <c r="L197" t="inlineStr">
        <is>
          <t>-1</t>
        </is>
      </c>
      <c r="M197" s="3" t="n">
        <v>0.593</v>
      </c>
      <c r="N197" t="inlineStr">
        <is>
          <t>부정</t>
        </is>
      </c>
    </row>
    <row r="198">
      <c r="A198" s="1" t="inlineStr">
        <is>
          <t>2021-05-14</t>
        </is>
      </c>
      <c r="B198" t="inlineStr">
        <is>
          <t>news</t>
        </is>
      </c>
      <c r="C198" t="inlineStr">
        <is>
          <t>economy</t>
        </is>
      </c>
      <c r="D198" t="inlineStr">
        <is>
          <t>아시아경제</t>
        </is>
      </c>
      <c r="E198" t="inlineStr">
        <is>
          <t>이기민</t>
        </is>
      </c>
      <c r="F198" t="inlineStr">
        <is>
          <t>현대차 노조, 임단협 요구안 확정…기본급 인상·정년 확대</t>
        </is>
      </c>
      <c r="G198" s="2">
        <f>HYPERLINK("https://view.asiae.co.kr/article/2021051410403258773", "Go to Website")</f>
        <v/>
      </c>
      <c r="H198" t="inlineStr"/>
      <c r="I198" t="inlineStr">
        <is>
          <t>C30</t>
        </is>
      </c>
      <c r="J198" s="3" t="n">
        <v>1</v>
      </c>
      <c r="K198" t="inlineStr">
        <is>
          <t>자동차 및 트레일러 제조업</t>
        </is>
      </c>
      <c r="L198" t="inlineStr">
        <is>
          <t>0</t>
        </is>
      </c>
      <c r="M198" s="3" t="n">
        <v>0.987</v>
      </c>
      <c r="N198" t="inlineStr">
        <is>
          <t>중립</t>
        </is>
      </c>
    </row>
    <row r="199">
      <c r="A199" s="1" t="inlineStr">
        <is>
          <t>2021-05-14</t>
        </is>
      </c>
      <c r="B199" t="inlineStr">
        <is>
          <t>news</t>
        </is>
      </c>
      <c r="C199" t="inlineStr">
        <is>
          <t>economy</t>
        </is>
      </c>
      <c r="D199" t="inlineStr">
        <is>
          <t>뉴스1</t>
        </is>
      </c>
      <c r="E199" t="inlineStr">
        <is>
          <t>신건웅</t>
        </is>
      </c>
      <c r="F199" t="inlineStr">
        <is>
          <t>정의선의 절박한 美 투자…"밀리면 현대차 미래도 없다"</t>
        </is>
      </c>
      <c r="G199" s="2">
        <f>HYPERLINK("https://www.news1.kr/articles/?4306820", "Go to Website")</f>
        <v/>
      </c>
      <c r="H199" t="inlineStr"/>
      <c r="I199" t="inlineStr">
        <is>
          <t>C30</t>
        </is>
      </c>
      <c r="J199" s="3" t="n">
        <v>0.997</v>
      </c>
      <c r="K199" t="inlineStr">
        <is>
          <t>자동차 및 트레일러 제조업</t>
        </is>
      </c>
      <c r="L199" t="inlineStr">
        <is>
          <t>0</t>
        </is>
      </c>
      <c r="M199" s="3" t="n">
        <v>0.945</v>
      </c>
      <c r="N199" t="inlineStr">
        <is>
          <t>중립</t>
        </is>
      </c>
    </row>
    <row r="200">
      <c r="A200" s="1" t="inlineStr">
        <is>
          <t>2021-05-14</t>
        </is>
      </c>
      <c r="B200" t="inlineStr">
        <is>
          <t>news</t>
        </is>
      </c>
      <c r="C200" t="inlineStr">
        <is>
          <t>economy</t>
        </is>
      </c>
      <c r="D200" t="inlineStr">
        <is>
          <t>데일리안</t>
        </is>
      </c>
      <c r="E200" t="inlineStr">
        <is>
          <t>유준상</t>
        </is>
      </c>
      <c r="F200" t="inlineStr">
        <is>
          <t>정부 "공공기관 친환경차 구매 의무화…렌트카·택배업 구매목표제 실시"</t>
        </is>
      </c>
      <c r="G200" s="2">
        <f>HYPERLINK("https://www.dailian.co.kr/news/view/991394/", "Go to Website")</f>
        <v/>
      </c>
      <c r="H200" t="inlineStr"/>
      <c r="I200" t="inlineStr">
        <is>
          <t>K65</t>
        </is>
      </c>
      <c r="J200" s="3" t="n">
        <v>0.594</v>
      </c>
      <c r="K200" t="inlineStr">
        <is>
          <t>보험 및 연금업</t>
        </is>
      </c>
      <c r="L200" t="inlineStr"/>
      <c r="M200" t="inlineStr"/>
      <c r="N200" t="inlineStr"/>
    </row>
    <row r="201">
      <c r="A201" s="1" t="inlineStr">
        <is>
          <t>2021-05-14</t>
        </is>
      </c>
      <c r="B201" t="inlineStr">
        <is>
          <t>news</t>
        </is>
      </c>
      <c r="C201" t="inlineStr">
        <is>
          <t>economy</t>
        </is>
      </c>
      <c r="D201" t="inlineStr">
        <is>
          <t>아이뉴스24</t>
        </is>
      </c>
      <c r="E201" t="inlineStr">
        <is>
          <t>박은경</t>
        </is>
      </c>
      <c r="F201" t="inlineStr">
        <is>
          <t>우리은행, ESG 잘하는 기업은 대출금리 깎아준다</t>
        </is>
      </c>
      <c r="G201" s="2">
        <f>HYPERLINK("http://www.inews24.com/view/1367203", "Go to Website")</f>
        <v/>
      </c>
      <c r="H201" t="inlineStr"/>
      <c r="I201" t="inlineStr">
        <is>
          <t>K64</t>
        </is>
      </c>
      <c r="J201" s="3" t="n">
        <v>1</v>
      </c>
      <c r="K201" t="inlineStr">
        <is>
          <t>금융업</t>
        </is>
      </c>
      <c r="L201" t="inlineStr">
        <is>
          <t>0</t>
        </is>
      </c>
      <c r="M201" s="3" t="n">
        <v>0.988</v>
      </c>
      <c r="N201" t="inlineStr">
        <is>
          <t>중립</t>
        </is>
      </c>
    </row>
    <row r="202">
      <c r="A202" s="1" t="inlineStr">
        <is>
          <t>2021-05-14</t>
        </is>
      </c>
      <c r="B202" t="inlineStr">
        <is>
          <t>news</t>
        </is>
      </c>
      <c r="C202" t="inlineStr">
        <is>
          <t>economy</t>
        </is>
      </c>
      <c r="D202" t="inlineStr">
        <is>
          <t>조세일보</t>
        </is>
      </c>
      <c r="E202" t="inlineStr"/>
      <c r="F202" t="inlineStr">
        <is>
          <t>우리은행, ESG 혁신기업대출 출시…최대 1.0~1.5%p 금리 우대</t>
        </is>
      </c>
      <c r="G202" s="2">
        <f>HYPERLINK("http://www.joseilbo.com/news/news_read.php?uid=423691&amp;class=51", "Go to Website")</f>
        <v/>
      </c>
      <c r="H202" t="inlineStr"/>
      <c r="I202" t="inlineStr">
        <is>
          <t>K64</t>
        </is>
      </c>
      <c r="J202" s="3" t="n">
        <v>1</v>
      </c>
      <c r="K202" t="inlineStr">
        <is>
          <t>금융업</t>
        </is>
      </c>
      <c r="L202" t="inlineStr">
        <is>
          <t>1</t>
        </is>
      </c>
      <c r="M202" s="3" t="n">
        <v>0.978</v>
      </c>
      <c r="N202" t="inlineStr">
        <is>
          <t>긍정</t>
        </is>
      </c>
    </row>
    <row r="203">
      <c r="A203" s="1" t="inlineStr">
        <is>
          <t>2021-05-14</t>
        </is>
      </c>
      <c r="B203" t="inlineStr">
        <is>
          <t>news</t>
        </is>
      </c>
      <c r="C203" t="inlineStr">
        <is>
          <t>economy</t>
        </is>
      </c>
      <c r="D203" t="inlineStr">
        <is>
          <t>매일경제</t>
        </is>
      </c>
      <c r="E203" t="inlineStr">
        <is>
          <t>서대현</t>
        </is>
      </c>
      <c r="F203" t="inlineStr">
        <is>
          <t>'반도체 수급난' 현대차 투싼 생산라인도 일시 중단</t>
        </is>
      </c>
      <c r="G203" s="2">
        <f>HYPERLINK("http://news.mk.co.kr/newsRead.php?no=465452&amp;year=2021", "Go to Website")</f>
        <v/>
      </c>
      <c r="H203" t="inlineStr"/>
      <c r="I203" t="inlineStr">
        <is>
          <t>C30</t>
        </is>
      </c>
      <c r="J203" s="3" t="n">
        <v>1</v>
      </c>
      <c r="K203" t="inlineStr">
        <is>
          <t>자동차 및 트레일러 제조업</t>
        </is>
      </c>
      <c r="L203" t="inlineStr">
        <is>
          <t>-1</t>
        </is>
      </c>
      <c r="M203" s="3" t="n">
        <v>0.991</v>
      </c>
      <c r="N203" t="inlineStr">
        <is>
          <t>부정</t>
        </is>
      </c>
    </row>
    <row r="204">
      <c r="A204" s="1" t="inlineStr">
        <is>
          <t>2021-05-14</t>
        </is>
      </c>
      <c r="B204" t="inlineStr">
        <is>
          <t>news</t>
        </is>
      </c>
      <c r="C204" t="inlineStr">
        <is>
          <t>economy</t>
        </is>
      </c>
      <c r="D204" t="inlineStr">
        <is>
          <t>머니투데이</t>
        </is>
      </c>
      <c r="E204" t="inlineStr">
        <is>
          <t>이강준</t>
        </is>
      </c>
      <c r="F204" t="inlineStr">
        <is>
          <t>"기아, 너마저도"…'車 반도체 보릿고개'로 이틀간 공장 중단</t>
        </is>
      </c>
      <c r="G204" s="2">
        <f>HYPERLINK("http://news.mt.co.kr/mtview.php?no=2021051409480267471", "Go to Website")</f>
        <v/>
      </c>
      <c r="H204" t="inlineStr"/>
      <c r="I204" t="inlineStr">
        <is>
          <t>C30</t>
        </is>
      </c>
      <c r="J204" s="3" t="n">
        <v>1</v>
      </c>
      <c r="K204" t="inlineStr">
        <is>
          <t>자동차 및 트레일러 제조업</t>
        </is>
      </c>
      <c r="L204" t="inlineStr">
        <is>
          <t>-1</t>
        </is>
      </c>
      <c r="M204" s="3" t="n">
        <v>0.978</v>
      </c>
      <c r="N204" t="inlineStr">
        <is>
          <t>부정</t>
        </is>
      </c>
    </row>
    <row r="205">
      <c r="A205" s="1" t="inlineStr">
        <is>
          <t>2021-05-14</t>
        </is>
      </c>
      <c r="B205" t="inlineStr">
        <is>
          <t>news</t>
        </is>
      </c>
      <c r="C205" t="inlineStr">
        <is>
          <t>economy</t>
        </is>
      </c>
      <c r="D205" t="inlineStr">
        <is>
          <t>아시아경제</t>
        </is>
      </c>
      <c r="E205" t="inlineStr">
        <is>
          <t>최봉석</t>
        </is>
      </c>
      <c r="F205" t="inlineStr">
        <is>
          <t>대기업 배후수요 품었다! ‘충주 모아미래도’ 5월 분양 예정</t>
        </is>
      </c>
      <c r="G205" s="2">
        <f>HYPERLINK("https://view.asiae.co.kr/article/2021051409551168023", "Go to Website")</f>
        <v/>
      </c>
      <c r="H205" t="inlineStr"/>
      <c r="I205" t="inlineStr">
        <is>
          <t>L68</t>
        </is>
      </c>
      <c r="J205" s="3" t="n">
        <v>0.99</v>
      </c>
      <c r="K205" t="inlineStr">
        <is>
          <t>부동산업</t>
        </is>
      </c>
      <c r="L205" t="inlineStr"/>
      <c r="M205" t="inlineStr"/>
      <c r="N205" t="inlineStr"/>
    </row>
    <row r="206">
      <c r="A206" s="1" t="inlineStr">
        <is>
          <t>2021-05-14</t>
        </is>
      </c>
      <c r="B206" t="inlineStr">
        <is>
          <t>news</t>
        </is>
      </c>
      <c r="C206" t="inlineStr">
        <is>
          <t>economy</t>
        </is>
      </c>
      <c r="D206" t="inlineStr">
        <is>
          <t>조선비즈</t>
        </is>
      </c>
      <c r="E206" t="inlineStr">
        <is>
          <t>박정엽</t>
        </is>
      </c>
      <c r="F206" t="inlineStr">
        <is>
          <t>이억원 기재차관 “5월중 계란 4000만개 이상 수입...물가안정에 최선”</t>
        </is>
      </c>
      <c r="G206" s="2">
        <f>HYPERLINK("https://biz.chosun.com/policy/policy_sub/2021/05/14/IDSX4ELOGVAKDFCGBBHOAAOSXE/?utm_medium=original&amp;utm_campaign=biz", "Go to Website")</f>
        <v/>
      </c>
      <c r="H206" t="inlineStr"/>
      <c r="I206" t="inlineStr">
        <is>
          <t>100</t>
        </is>
      </c>
      <c r="J206" s="3" t="n">
        <v>0.488</v>
      </c>
      <c r="K206" t="inlineStr">
        <is>
          <t>분류 제외, 기타</t>
        </is>
      </c>
      <c r="L206" t="inlineStr"/>
      <c r="M206" t="inlineStr"/>
      <c r="N206" t="inlineStr"/>
    </row>
    <row r="207">
      <c r="A207" s="1" t="inlineStr">
        <is>
          <t>2021-05-14</t>
        </is>
      </c>
      <c r="B207" t="inlineStr">
        <is>
          <t>news</t>
        </is>
      </c>
      <c r="C207" t="inlineStr">
        <is>
          <t>economy</t>
        </is>
      </c>
      <c r="D207" t="inlineStr">
        <is>
          <t>파이낸셜뉴스</t>
        </is>
      </c>
      <c r="E207" t="inlineStr"/>
      <c r="F207" t="inlineStr">
        <is>
          <t>우리銀, '우리 ESG 혁신기업대출' 출시</t>
        </is>
      </c>
      <c r="G207" s="2">
        <f>HYPERLINK("http://www.fnnews.com/news/202105140903284380", "Go to Website")</f>
        <v/>
      </c>
      <c r="H207" t="inlineStr"/>
      <c r="I207" t="inlineStr">
        <is>
          <t>K64</t>
        </is>
      </c>
      <c r="J207" s="3" t="n">
        <v>1</v>
      </c>
      <c r="K207" t="inlineStr">
        <is>
          <t>금융업</t>
        </is>
      </c>
      <c r="L207" t="inlineStr"/>
      <c r="M207" t="inlineStr"/>
      <c r="N207" t="inlineStr"/>
    </row>
    <row r="208">
      <c r="A208" s="1" t="inlineStr">
        <is>
          <t>2021-05-14</t>
        </is>
      </c>
      <c r="B208" t="inlineStr">
        <is>
          <t>news</t>
        </is>
      </c>
      <c r="C208" t="inlineStr">
        <is>
          <t>economy</t>
        </is>
      </c>
      <c r="D208" t="inlineStr">
        <is>
          <t>뉴스1</t>
        </is>
      </c>
      <c r="E208" t="inlineStr">
        <is>
          <t>권혁준</t>
        </is>
      </c>
      <c r="F208" t="inlineStr">
        <is>
          <t>이억원 "5월에도 계란 4000만개 추가 수입…품목별 맞춤형 대책"</t>
        </is>
      </c>
      <c r="G208" s="2">
        <f>HYPERLINK("https://www.news1.kr/articles/?4306624", "Go to Website")</f>
        <v/>
      </c>
      <c r="H208" t="inlineStr"/>
      <c r="I208" t="inlineStr">
        <is>
          <t>K64</t>
        </is>
      </c>
      <c r="J208" s="3" t="n">
        <v>0.795</v>
      </c>
      <c r="K208" t="inlineStr">
        <is>
          <t>금융업</t>
        </is>
      </c>
      <c r="L208" t="inlineStr"/>
      <c r="M208" t="inlineStr"/>
      <c r="N208" t="inlineStr"/>
    </row>
    <row r="209">
      <c r="A209" s="1" t="inlineStr">
        <is>
          <t>2021-05-14</t>
        </is>
      </c>
      <c r="B209" t="inlineStr">
        <is>
          <t>news</t>
        </is>
      </c>
      <c r="C209" t="inlineStr">
        <is>
          <t>economy</t>
        </is>
      </c>
      <c r="D209" t="inlineStr">
        <is>
          <t>데일리안</t>
        </is>
      </c>
      <c r="E209" t="inlineStr">
        <is>
          <t>이호연</t>
        </is>
      </c>
      <c r="F209" t="inlineStr">
        <is>
          <t>우리은행, ‘우리 ESG 혁신기업대출’ 출시</t>
        </is>
      </c>
      <c r="G209" s="2">
        <f>HYPERLINK("https://www.dailian.co.kr/news/view/991289/", "Go to Website")</f>
        <v/>
      </c>
      <c r="H209" t="inlineStr"/>
      <c r="I209" t="inlineStr">
        <is>
          <t>K64</t>
        </is>
      </c>
      <c r="J209" s="3" t="n">
        <v>1</v>
      </c>
      <c r="K209" t="inlineStr">
        <is>
          <t>금융업</t>
        </is>
      </c>
      <c r="L209" t="inlineStr">
        <is>
          <t>1</t>
        </is>
      </c>
      <c r="M209" s="3" t="n">
        <v>0.999</v>
      </c>
      <c r="N209" t="inlineStr">
        <is>
          <t>긍정</t>
        </is>
      </c>
    </row>
    <row r="210">
      <c r="A210" s="1" t="inlineStr">
        <is>
          <t>2021-05-14</t>
        </is>
      </c>
      <c r="B210" t="inlineStr">
        <is>
          <t>news</t>
        </is>
      </c>
      <c r="C210" t="inlineStr">
        <is>
          <t>economy</t>
        </is>
      </c>
      <c r="D210" t="inlineStr">
        <is>
          <t>조선비즈</t>
        </is>
      </c>
      <c r="E210" t="inlineStr">
        <is>
          <t>박소정</t>
        </is>
      </c>
      <c r="F210" t="inlineStr">
        <is>
          <t>우리은행, ESG 기업 우대금리 제공 ‘혁신기업대출’ 출시</t>
        </is>
      </c>
      <c r="G210" s="2">
        <f>HYPERLINK("https://biz.chosun.com/stock/finance/2021/05/14/6HYWUKR2UFELPI7ZXFSFLLE4LY/?utm_medium=original&amp;utm_campaign=biz", "Go to Website")</f>
        <v/>
      </c>
      <c r="H210" t="inlineStr"/>
      <c r="I210" t="inlineStr">
        <is>
          <t>K64</t>
        </is>
      </c>
      <c r="J210" s="3" t="n">
        <v>1</v>
      </c>
      <c r="K210" t="inlineStr">
        <is>
          <t>금융업</t>
        </is>
      </c>
      <c r="L210" t="inlineStr">
        <is>
          <t>1</t>
        </is>
      </c>
      <c r="M210" s="3" t="n">
        <v>0.997</v>
      </c>
      <c r="N210" t="inlineStr">
        <is>
          <t>긍정</t>
        </is>
      </c>
    </row>
    <row r="211">
      <c r="A211" s="1" t="inlineStr">
        <is>
          <t>2021-05-14</t>
        </is>
      </c>
      <c r="B211" t="inlineStr">
        <is>
          <t>news</t>
        </is>
      </c>
      <c r="C211" t="inlineStr">
        <is>
          <t>economy</t>
        </is>
      </c>
      <c r="D211" t="inlineStr">
        <is>
          <t>머니S</t>
        </is>
      </c>
      <c r="E211" t="inlineStr">
        <is>
          <t>박슬기</t>
        </is>
      </c>
      <c r="F211" t="inlineStr">
        <is>
          <t>우리은행 "ESG 우수기업엔 대출금리 1.5%포인트 우대해요"</t>
        </is>
      </c>
      <c r="G211" s="2">
        <f>HYPERLINK("http://moneys.mt.co.kr/news/mwView.php?no=2021051408358079969", "Go to Website")</f>
        <v/>
      </c>
      <c r="H211" t="inlineStr"/>
      <c r="I211" t="inlineStr">
        <is>
          <t>K64</t>
        </is>
      </c>
      <c r="J211" s="3" t="n">
        <v>1</v>
      </c>
      <c r="K211" t="inlineStr">
        <is>
          <t>금융업</t>
        </is>
      </c>
      <c r="L211" t="inlineStr">
        <is>
          <t>0</t>
        </is>
      </c>
      <c r="M211" s="3" t="n">
        <v>0.983</v>
      </c>
      <c r="N211" t="inlineStr">
        <is>
          <t>중립</t>
        </is>
      </c>
    </row>
    <row r="212">
      <c r="A212" s="1" t="inlineStr">
        <is>
          <t>2021-05-14</t>
        </is>
      </c>
      <c r="B212" t="inlineStr">
        <is>
          <t>news</t>
        </is>
      </c>
      <c r="C212" t="inlineStr">
        <is>
          <t>tech</t>
        </is>
      </c>
      <c r="D212" t="inlineStr">
        <is>
          <t>이데일리</t>
        </is>
      </c>
      <c r="E212" t="inlineStr">
        <is>
          <t>강민구</t>
        </is>
      </c>
      <c r="F212" t="inlineStr">
        <is>
          <t>탄소 몸집 줄이는 출연연···이산화탄소서 합성석유 만들고, 수소충전 플랜트 국산화</t>
        </is>
      </c>
      <c r="G212" s="2">
        <f>HYPERLINK("http://www.edaily.co.kr/news/newspath.asp?newsid=01184086629048920", "Go to Website")</f>
        <v/>
      </c>
      <c r="H212" t="inlineStr"/>
      <c r="I212" t="inlineStr"/>
      <c r="J212" t="inlineStr"/>
      <c r="K212" t="inlineStr"/>
      <c r="L212" t="inlineStr"/>
      <c r="M212" t="inlineStr"/>
      <c r="N212" t="inlineStr"/>
    </row>
    <row r="213">
      <c r="A213" s="1" t="inlineStr">
        <is>
          <t>2021-05-14</t>
        </is>
      </c>
      <c r="B213" t="inlineStr">
        <is>
          <t>news</t>
        </is>
      </c>
      <c r="C213" t="inlineStr">
        <is>
          <t>economy</t>
        </is>
      </c>
      <c r="D213" t="inlineStr">
        <is>
          <t>서울신문</t>
        </is>
      </c>
      <c r="E213" t="inlineStr">
        <is>
          <t>임송학</t>
        </is>
      </c>
      <c r="F213" t="inlineStr">
        <is>
          <t>“보조금도 받는데 1억 넘는 전기차 자동차세 10만원?” 일반차들 뿔났다</t>
        </is>
      </c>
      <c r="G213" s="2">
        <f>HYPERLINK("https://www.seoul.co.kr/news/newsView.php?id=20210514018008", "Go to Website")</f>
        <v/>
      </c>
      <c r="H213" t="inlineStr"/>
      <c r="I213" t="inlineStr">
        <is>
          <t>K64</t>
        </is>
      </c>
      <c r="J213" s="3" t="n">
        <v>0.963</v>
      </c>
      <c r="K213" t="inlineStr">
        <is>
          <t>금융업</t>
        </is>
      </c>
      <c r="L213" t="inlineStr"/>
      <c r="M213" t="inlineStr"/>
      <c r="N213" t="inlineStr"/>
    </row>
    <row r="214">
      <c r="A214" s="1" t="inlineStr">
        <is>
          <t>2021-05-14</t>
        </is>
      </c>
      <c r="B214" t="inlineStr">
        <is>
          <t>news</t>
        </is>
      </c>
      <c r="C214" t="inlineStr">
        <is>
          <t>economy</t>
        </is>
      </c>
      <c r="D214" t="inlineStr">
        <is>
          <t>세계일보</t>
        </is>
      </c>
      <c r="E214" t="inlineStr">
        <is>
          <t>나기천</t>
        </is>
      </c>
      <c r="F214" t="inlineStr">
        <is>
          <t>도로공사, 탄소중립 인프라 구축… ‘그린뉴딜’ 앞장</t>
        </is>
      </c>
      <c r="G214" s="2">
        <f>HYPERLINK("http://www.segye.com/content/html/2021/05/13/20210513514605.html", "Go to Website")</f>
        <v/>
      </c>
      <c r="H214" t="inlineStr"/>
      <c r="I214" t="inlineStr">
        <is>
          <t>N76</t>
        </is>
      </c>
      <c r="J214" s="3" t="n">
        <v>0.718</v>
      </c>
      <c r="K214" t="inlineStr">
        <is>
          <t>임대업; 부동산 제외</t>
        </is>
      </c>
      <c r="L214" t="inlineStr">
        <is>
          <t>0</t>
        </is>
      </c>
      <c r="M214" s="3" t="n">
        <v>0.508</v>
      </c>
      <c r="N214" t="inlineStr">
        <is>
          <t>중립</t>
        </is>
      </c>
    </row>
    <row r="215">
      <c r="A215" s="1" t="inlineStr">
        <is>
          <t>2021-05-14</t>
        </is>
      </c>
      <c r="B215" t="inlineStr">
        <is>
          <t>news</t>
        </is>
      </c>
      <c r="C215" t="inlineStr">
        <is>
          <t>economy</t>
        </is>
      </c>
      <c r="D215" t="inlineStr">
        <is>
          <t>이데일리</t>
        </is>
      </c>
      <c r="E215" t="inlineStr">
        <is>
          <t>이은정</t>
        </is>
      </c>
      <c r="F215" t="inlineStr">
        <is>
          <t>액티브 ETF도 친환경·모빌리티 바람…운용사 경쟁 불붙는다</t>
        </is>
      </c>
      <c r="G215" s="2">
        <f>HYPERLINK("http://www.edaily.co.kr/news/newspath.asp?newsid=01148006629048920", "Go to Website")</f>
        <v/>
      </c>
      <c r="H215" t="inlineStr"/>
      <c r="I215" t="inlineStr">
        <is>
          <t>K64</t>
        </is>
      </c>
      <c r="J215" s="3" t="n">
        <v>0.996</v>
      </c>
      <c r="K215" t="inlineStr">
        <is>
          <t>금융업</t>
        </is>
      </c>
      <c r="L215" t="inlineStr"/>
      <c r="M215" t="inlineStr"/>
      <c r="N215" t="inlineStr"/>
    </row>
    <row r="216">
      <c r="A216" s="1" t="inlineStr">
        <is>
          <t>2021-05-13</t>
        </is>
      </c>
      <c r="B216" t="inlineStr">
        <is>
          <t>news</t>
        </is>
      </c>
      <c r="C216" t="inlineStr">
        <is>
          <t>economy</t>
        </is>
      </c>
      <c r="D216" t="inlineStr">
        <is>
          <t>머니투데이</t>
        </is>
      </c>
      <c r="E216" t="inlineStr">
        <is>
          <t>이강준</t>
        </is>
      </c>
      <c r="F216" t="inlineStr">
        <is>
          <t>최악의 車 반도체 보릿고개…현대차 투싼·아반떼·넥쏘·베뉴 생산 중단</t>
        </is>
      </c>
      <c r="G216" s="2">
        <f>HYPERLINK("http://news.mt.co.kr/mtview.php?no=2021051320235476449", "Go to Website")</f>
        <v/>
      </c>
      <c r="H216" t="inlineStr"/>
      <c r="I216" t="inlineStr">
        <is>
          <t>C30</t>
        </is>
      </c>
      <c r="J216" s="3" t="n">
        <v>0.999</v>
      </c>
      <c r="K216" t="inlineStr">
        <is>
          <t>자동차 및 트레일러 제조업</t>
        </is>
      </c>
      <c r="L216" t="inlineStr">
        <is>
          <t>-1</t>
        </is>
      </c>
      <c r="M216" s="3" t="n">
        <v>0.946</v>
      </c>
      <c r="N216" t="inlineStr">
        <is>
          <t>부정</t>
        </is>
      </c>
    </row>
    <row r="217">
      <c r="A217" s="1" t="inlineStr">
        <is>
          <t>2021-05-13</t>
        </is>
      </c>
      <c r="B217" t="inlineStr">
        <is>
          <t>news</t>
        </is>
      </c>
      <c r="C217" t="inlineStr">
        <is>
          <t>economy</t>
        </is>
      </c>
      <c r="D217" t="inlineStr">
        <is>
          <t>부산일보</t>
        </is>
      </c>
      <c r="E217" t="inlineStr">
        <is>
          <t>김영한</t>
        </is>
      </c>
      <c r="F217" t="inlineStr">
        <is>
          <t>“와~ 대도하이젠”… 중기 유일 정부 수소 사업자 선정</t>
        </is>
      </c>
      <c r="G217" s="2">
        <f>HYPERLINK("http://www.busan.com/view/busan/view.php?code=2021051319111929105", "Go to Website")</f>
        <v/>
      </c>
      <c r="H217" t="inlineStr"/>
      <c r="I217" t="inlineStr">
        <is>
          <t>C27</t>
        </is>
      </c>
      <c r="J217" s="3" t="n">
        <v>0.35</v>
      </c>
      <c r="K217" t="inlineStr">
        <is>
          <t>의료, 정밀, 광학 기기 및 시계 제조업</t>
        </is>
      </c>
      <c r="L217" t="inlineStr"/>
      <c r="M217" t="inlineStr"/>
      <c r="N217" t="inlineStr"/>
    </row>
    <row r="218">
      <c r="A218" s="1" t="inlineStr">
        <is>
          <t>2021-05-13</t>
        </is>
      </c>
      <c r="B218" t="inlineStr">
        <is>
          <t>news</t>
        </is>
      </c>
      <c r="C218" t="inlineStr">
        <is>
          <t>economy</t>
        </is>
      </c>
      <c r="D218" t="inlineStr">
        <is>
          <t>매일경제</t>
        </is>
      </c>
      <c r="E218" t="inlineStr">
        <is>
          <t>김규식</t>
        </is>
      </c>
      <c r="F218" t="inlineStr">
        <is>
          <t>공급망의 힘…도요타 순익 10% 늘었다</t>
        </is>
      </c>
      <c r="G218" s="2">
        <f>HYPERLINK("http://news.mk.co.kr/newsRead.php?no=463410&amp;year=2021", "Go to Website")</f>
        <v/>
      </c>
      <c r="H218" t="inlineStr"/>
      <c r="I218" t="inlineStr">
        <is>
          <t>100</t>
        </is>
      </c>
      <c r="J218" s="3" t="n">
        <v>0.997</v>
      </c>
      <c r="K218" t="inlineStr">
        <is>
          <t>분류 제외, 기타</t>
        </is>
      </c>
      <c r="L218" t="inlineStr"/>
      <c r="M218" t="inlineStr"/>
      <c r="N218" t="inlineStr"/>
    </row>
    <row r="219">
      <c r="A219" s="1" t="inlineStr">
        <is>
          <t>2021-05-13</t>
        </is>
      </c>
      <c r="B219" t="inlineStr">
        <is>
          <t>news</t>
        </is>
      </c>
      <c r="C219" t="inlineStr">
        <is>
          <t>economy</t>
        </is>
      </c>
      <c r="D219" t="inlineStr">
        <is>
          <t>더팩트</t>
        </is>
      </c>
      <c r="E219" t="inlineStr"/>
      <c r="F219" t="inlineStr">
        <is>
          <t>효성 조현준 회장, 효성첨단소재 '어닝 서프라이즈' 견인</t>
        </is>
      </c>
      <c r="G219" s="2">
        <f>HYPERLINK("http://news.tf.co.kr/read/economy/1860936.htm", "Go to Website")</f>
        <v/>
      </c>
      <c r="H219" t="inlineStr"/>
      <c r="I219" t="inlineStr">
        <is>
          <t>C20</t>
        </is>
      </c>
      <c r="J219" s="3" t="n">
        <v>1</v>
      </c>
      <c r="K219" t="inlineStr">
        <is>
          <t>화학 물질 및 화학제품 제조업; 의약품 제외</t>
        </is>
      </c>
      <c r="L219" t="inlineStr"/>
      <c r="M219" t="inlineStr"/>
      <c r="N219" t="inlineStr"/>
    </row>
    <row r="220">
      <c r="A220" s="1" t="inlineStr">
        <is>
          <t>2021-05-13</t>
        </is>
      </c>
      <c r="B220" t="inlineStr">
        <is>
          <t>news</t>
        </is>
      </c>
      <c r="C220" t="inlineStr">
        <is>
          <t>economy</t>
        </is>
      </c>
      <c r="D220" t="inlineStr">
        <is>
          <t>디지털타임스</t>
        </is>
      </c>
      <c r="E220" t="inlineStr"/>
      <c r="F220" t="inlineStr">
        <is>
          <t>반도체 R&amp;D 세액공제 최대 50%…전력인프라 정부·한전이 분담</t>
        </is>
      </c>
      <c r="G220" s="2">
        <f>HYPERLINK("http://www.dt.co.kr/contents.html?article_no=2021051302109958063001", "Go to Website")</f>
        <v/>
      </c>
      <c r="H220" t="inlineStr"/>
      <c r="I220" t="inlineStr">
        <is>
          <t>100</t>
        </is>
      </c>
      <c r="J220" s="3" t="n">
        <v>0.833</v>
      </c>
      <c r="K220" t="inlineStr">
        <is>
          <t>분류 제외, 기타</t>
        </is>
      </c>
      <c r="L220" t="inlineStr"/>
      <c r="M220" t="inlineStr"/>
      <c r="N220" t="inlineStr"/>
    </row>
    <row r="221">
      <c r="A221" s="1" t="inlineStr">
        <is>
          <t>2021-05-13</t>
        </is>
      </c>
      <c r="B221" t="inlineStr">
        <is>
          <t>news</t>
        </is>
      </c>
      <c r="C221" t="inlineStr">
        <is>
          <t>economy</t>
        </is>
      </c>
      <c r="D221" t="inlineStr">
        <is>
          <t>이코노미스트</t>
        </is>
      </c>
      <c r="E221" t="inlineStr">
        <is>
          <t>최윤신</t>
        </is>
      </c>
      <c r="F221" t="inlineStr">
        <is>
          <t>조여오는 배출규제, 수입차업계도 '비상'… 향후 3년 관건</t>
        </is>
      </c>
      <c r="G221" s="2">
        <f>HYPERLINK("https://economist.co.kr/2021/05/13/policy/issue/20210513144900252.html", "Go to Website")</f>
        <v/>
      </c>
      <c r="H221" t="inlineStr"/>
      <c r="I221" t="inlineStr">
        <is>
          <t>C30</t>
        </is>
      </c>
      <c r="J221" s="3" t="n">
        <v>0.866</v>
      </c>
      <c r="K221" t="inlineStr">
        <is>
          <t>자동차 및 트레일러 제조업</t>
        </is>
      </c>
      <c r="L221" t="inlineStr"/>
      <c r="M221" t="inlineStr"/>
      <c r="N221" t="inlineStr"/>
    </row>
    <row r="222">
      <c r="A222" s="1" t="inlineStr">
        <is>
          <t>2021-05-13</t>
        </is>
      </c>
      <c r="B222" t="inlineStr">
        <is>
          <t>news</t>
        </is>
      </c>
      <c r="C222" t="inlineStr">
        <is>
          <t>economy</t>
        </is>
      </c>
      <c r="D222" t="inlineStr">
        <is>
          <t>뉴시스</t>
        </is>
      </c>
      <c r="E222" t="inlineStr">
        <is>
          <t>맹대환</t>
        </is>
      </c>
      <c r="F222" t="inlineStr">
        <is>
          <t>전남도, 전국 첫 폐자원 활용 수소 생산 추진</t>
        </is>
      </c>
      <c r="G222" s="2">
        <f>HYPERLINK("http://www.newsis.com/view/?id=NISX20210513_0001440114&amp;cID=10809&amp;pID=10800", "Go to Website")</f>
        <v/>
      </c>
      <c r="H222" t="inlineStr"/>
      <c r="I222" t="inlineStr">
        <is>
          <t>C17</t>
        </is>
      </c>
      <c r="J222" s="3" t="n">
        <v>0.424</v>
      </c>
      <c r="K222" t="inlineStr">
        <is>
          <t>펄프, 종이 및 종이제품 제조업</t>
        </is>
      </c>
      <c r="L222" t="inlineStr"/>
      <c r="M222" t="inlineStr"/>
      <c r="N222" t="inlineStr"/>
    </row>
    <row r="223">
      <c r="A223" s="1" t="inlineStr">
        <is>
          <t>2021-05-13</t>
        </is>
      </c>
      <c r="B223" t="inlineStr">
        <is>
          <t>news</t>
        </is>
      </c>
      <c r="C223" t="inlineStr">
        <is>
          <t>economy</t>
        </is>
      </c>
      <c r="D223" t="inlineStr">
        <is>
          <t>데일리안</t>
        </is>
      </c>
      <c r="E223" t="inlineStr">
        <is>
          <t>박영국</t>
        </is>
      </c>
      <c r="F223" t="inlineStr">
        <is>
          <t>정만기 KAIA 회장 "전기차 전쟁, 고임금 과잉인력 해소가 관건"</t>
        </is>
      </c>
      <c r="G223" s="2">
        <f>HYPERLINK("https://www.dailian.co.kr/news/view/990930/", "Go to Website")</f>
        <v/>
      </c>
      <c r="H223" t="inlineStr"/>
      <c r="I223" t="inlineStr">
        <is>
          <t>C30</t>
        </is>
      </c>
      <c r="J223" s="3" t="n">
        <v>0.997</v>
      </c>
      <c r="K223" t="inlineStr">
        <is>
          <t>자동차 및 트레일러 제조업</t>
        </is>
      </c>
      <c r="L223" t="inlineStr"/>
      <c r="M223" t="inlineStr"/>
      <c r="N223" t="inlineStr"/>
    </row>
    <row r="224">
      <c r="A224" s="1" t="inlineStr">
        <is>
          <t>2021-05-13</t>
        </is>
      </c>
      <c r="B224" t="inlineStr">
        <is>
          <t>news</t>
        </is>
      </c>
      <c r="C224" t="inlineStr">
        <is>
          <t>economy</t>
        </is>
      </c>
      <c r="D224" t="inlineStr">
        <is>
          <t>파이낸셜뉴스</t>
        </is>
      </c>
      <c r="E224" t="inlineStr">
        <is>
          <t>김병덕</t>
        </is>
      </c>
      <c r="F224" t="inlineStr">
        <is>
          <t>"전기차 가격 내연기관차의 최대 4배...비용절감 시급"</t>
        </is>
      </c>
      <c r="G224" s="2">
        <f>HYPERLINK("http://www.fnnews.com/news/202105130943433440", "Go to Website")</f>
        <v/>
      </c>
      <c r="H224" t="inlineStr"/>
      <c r="I224" t="inlineStr">
        <is>
          <t>100</t>
        </is>
      </c>
      <c r="J224" s="3" t="n">
        <v>0.8169999999999999</v>
      </c>
      <c r="K224" t="inlineStr">
        <is>
          <t>분류 제외, 기타</t>
        </is>
      </c>
      <c r="L224" t="inlineStr"/>
      <c r="M224" t="inlineStr"/>
      <c r="N224" t="inlineStr"/>
    </row>
    <row r="225">
      <c r="A225" s="1" t="inlineStr">
        <is>
          <t>2021-05-13</t>
        </is>
      </c>
      <c r="B225" t="inlineStr">
        <is>
          <t>news</t>
        </is>
      </c>
      <c r="C225" t="inlineStr">
        <is>
          <t>economy</t>
        </is>
      </c>
      <c r="D225" t="inlineStr">
        <is>
          <t>뉴시스</t>
        </is>
      </c>
      <c r="E225" t="inlineStr">
        <is>
          <t>박주연</t>
        </is>
      </c>
      <c r="F225" t="inlineStr">
        <is>
          <t>車산업연합회 "전기차 전환 서두르다 산업기반 위축시켜선 안 돼"</t>
        </is>
      </c>
      <c r="G225" s="2">
        <f>HYPERLINK("http://www.newsis.com/view/?id=NISX20210513_0001439593&amp;cID=13001&amp;pID=13000", "Go to Website")</f>
        <v/>
      </c>
      <c r="H225" t="inlineStr"/>
      <c r="I225" t="inlineStr">
        <is>
          <t>M71</t>
        </is>
      </c>
      <c r="J225" s="3" t="n">
        <v>0.5570000000000001</v>
      </c>
      <c r="K225" t="inlineStr">
        <is>
          <t>전문 서비스업</t>
        </is>
      </c>
      <c r="L225" t="inlineStr"/>
      <c r="M225" t="inlineStr"/>
      <c r="N225" t="inlineStr"/>
    </row>
    <row r="226">
      <c r="A226" s="1" t="inlineStr">
        <is>
          <t>2021-05-13</t>
        </is>
      </c>
      <c r="B226" t="inlineStr">
        <is>
          <t>news</t>
        </is>
      </c>
      <c r="C226" t="inlineStr">
        <is>
          <t>economy</t>
        </is>
      </c>
      <c r="D226" t="inlineStr">
        <is>
          <t>KBS</t>
        </is>
      </c>
      <c r="E226" t="inlineStr"/>
      <c r="F226" t="inlineStr">
        <is>
          <t>동래구 등 ‘저공해차 구매’ 실적 0%…편차 커</t>
        </is>
      </c>
      <c r="G226" s="2">
        <f>HYPERLINK("https://news.kbs.co.kr/news/view.do?ncd=5184745&amp;ref=A", "Go to Website")</f>
        <v/>
      </c>
      <c r="H226" t="inlineStr"/>
      <c r="I226" t="inlineStr">
        <is>
          <t>H52</t>
        </is>
      </c>
      <c r="J226" s="3" t="n">
        <v>0.778</v>
      </c>
      <c r="K226" t="inlineStr">
        <is>
          <t>창고 및 운송관련 서비스업</t>
        </is>
      </c>
      <c r="L226" t="inlineStr"/>
      <c r="M226" t="inlineStr"/>
      <c r="N226" t="inlineStr"/>
    </row>
    <row r="227">
      <c r="A227" s="1" t="inlineStr">
        <is>
          <t>2021-05-13</t>
        </is>
      </c>
      <c r="B227" t="inlineStr">
        <is>
          <t>news</t>
        </is>
      </c>
      <c r="C227" t="inlineStr">
        <is>
          <t>economy</t>
        </is>
      </c>
      <c r="D227" t="inlineStr">
        <is>
          <t>MBC</t>
        </is>
      </c>
      <c r="E227" t="inlineStr">
        <is>
          <t>김재영</t>
        </is>
      </c>
      <c r="F227" t="inlineStr">
        <is>
          <t>[재택플러스] 달아오른 '미니밴 경쟁' 수입차도 가세</t>
        </is>
      </c>
      <c r="G227" s="2">
        <f>HYPERLINK("https://imnews.imbc.com/replay/2021/nwtoday/article/6177347_34943.html", "Go to Website")</f>
        <v/>
      </c>
      <c r="H227" t="inlineStr"/>
      <c r="I227" t="inlineStr">
        <is>
          <t>I55</t>
        </is>
      </c>
      <c r="J227" s="3" t="n">
        <v>1</v>
      </c>
      <c r="K227" t="inlineStr">
        <is>
          <t>숙박업</t>
        </is>
      </c>
      <c r="L227" t="inlineStr"/>
      <c r="M227" t="inlineStr"/>
      <c r="N227" t="inlineStr"/>
    </row>
    <row r="228">
      <c r="A228" s="1" t="inlineStr">
        <is>
          <t>2021-05-12</t>
        </is>
      </c>
      <c r="B228" t="inlineStr">
        <is>
          <t>news</t>
        </is>
      </c>
      <c r="C228" t="inlineStr">
        <is>
          <t>economy</t>
        </is>
      </c>
      <c r="D228" t="inlineStr">
        <is>
          <t>KBS</t>
        </is>
      </c>
      <c r="E228" t="inlineStr"/>
      <c r="F228" t="inlineStr">
        <is>
          <t>동래구 등 ‘저공해차 구매’ 실적 0%…편차 커</t>
        </is>
      </c>
      <c r="G228" s="2">
        <f>HYPERLINK("https://news.kbs.co.kr/news/view.do?ncd=5184479&amp;ref=A", "Go to Website")</f>
        <v/>
      </c>
      <c r="H228" t="inlineStr"/>
      <c r="I228" t="inlineStr">
        <is>
          <t>H52</t>
        </is>
      </c>
      <c r="J228" s="3" t="n">
        <v>0.974</v>
      </c>
      <c r="K228" t="inlineStr">
        <is>
          <t>창고 및 운송관련 서비스업</t>
        </is>
      </c>
      <c r="L228" t="inlineStr"/>
      <c r="M228" t="inlineStr"/>
      <c r="N228" t="inlineStr"/>
    </row>
    <row r="229">
      <c r="A229" s="1" t="inlineStr">
        <is>
          <t>2021-05-12</t>
        </is>
      </c>
      <c r="B229" t="inlineStr">
        <is>
          <t>news</t>
        </is>
      </c>
      <c r="C229" t="inlineStr">
        <is>
          <t>economy</t>
        </is>
      </c>
      <c r="D229" t="inlineStr">
        <is>
          <t>서울경제</t>
        </is>
      </c>
      <c r="E229" t="inlineStr">
        <is>
          <t>김능현</t>
        </is>
      </c>
      <c r="F229" t="inlineStr">
        <is>
          <t>[단독]호봉제 폐지가 대세인데...호봉당 격차 확대해달라는 현대차 노조</t>
        </is>
      </c>
      <c r="G229" s="2">
        <f>HYPERLINK("https://www.sedaily.com/NewsView/22MC07MNRY", "Go to Website")</f>
        <v/>
      </c>
      <c r="H229" t="inlineStr"/>
      <c r="I229" t="inlineStr">
        <is>
          <t>C30</t>
        </is>
      </c>
      <c r="J229" s="3" t="n">
        <v>0.997</v>
      </c>
      <c r="K229" t="inlineStr">
        <is>
          <t>자동차 및 트레일러 제조업</t>
        </is>
      </c>
      <c r="L229" t="inlineStr">
        <is>
          <t>0</t>
        </is>
      </c>
      <c r="M229" s="3" t="n">
        <v>0.662</v>
      </c>
      <c r="N229" t="inlineStr">
        <is>
          <t>중립</t>
        </is>
      </c>
    </row>
    <row r="230">
      <c r="A230" s="1" t="inlineStr">
        <is>
          <t>2021-05-12</t>
        </is>
      </c>
      <c r="B230" t="inlineStr">
        <is>
          <t>news</t>
        </is>
      </c>
      <c r="C230" t="inlineStr">
        <is>
          <t>economy</t>
        </is>
      </c>
      <c r="D230" t="inlineStr">
        <is>
          <t>세계일보</t>
        </is>
      </c>
      <c r="E230" t="inlineStr">
        <is>
          <t>조병욱</t>
        </is>
      </c>
      <c r="F230" t="inlineStr">
        <is>
          <t>“친환경차 기술 중립성 유지·경쟁력 확보 중요” [2021 세계에너지포럼]</t>
        </is>
      </c>
      <c r="G230" s="2">
        <f>HYPERLINK("http://www.segye.com/content/html/2021/05/12/20210512516788.html", "Go to Website")</f>
        <v/>
      </c>
      <c r="H230" t="inlineStr"/>
      <c r="I230" t="inlineStr">
        <is>
          <t>C30</t>
        </is>
      </c>
      <c r="J230" s="3" t="n">
        <v>0.949</v>
      </c>
      <c r="K230" t="inlineStr">
        <is>
          <t>자동차 및 트레일러 제조업</t>
        </is>
      </c>
      <c r="L230" t="inlineStr"/>
      <c r="M230" t="inlineStr"/>
      <c r="N230" t="inlineStr"/>
    </row>
    <row r="231">
      <c r="A231" s="1" t="inlineStr">
        <is>
          <t>2021-05-12</t>
        </is>
      </c>
      <c r="B231" t="inlineStr">
        <is>
          <t>news</t>
        </is>
      </c>
      <c r="C231" t="inlineStr">
        <is>
          <t>tech</t>
        </is>
      </c>
      <c r="D231" t="inlineStr">
        <is>
          <t>서울경제</t>
        </is>
      </c>
      <c r="E231" t="inlineStr"/>
      <c r="F231" t="inlineStr">
        <is>
          <t>'수전해 기술' 선진국 60~70% 수준···산학연 유기적 협업 절실</t>
        </is>
      </c>
      <c r="G231" s="2">
        <f>HYPERLINK("https://www.sedaily.com/NewsView/22MC06XFO0", "Go to Website")</f>
        <v/>
      </c>
      <c r="H231" t="inlineStr"/>
      <c r="I231" t="inlineStr"/>
      <c r="J231" t="inlineStr"/>
      <c r="K231" t="inlineStr"/>
      <c r="L231" t="inlineStr"/>
      <c r="M231" t="inlineStr"/>
      <c r="N231" t="inlineStr"/>
    </row>
    <row r="232">
      <c r="A232" s="1" t="inlineStr">
        <is>
          <t>2021-05-12</t>
        </is>
      </c>
      <c r="B232" t="inlineStr">
        <is>
          <t>news</t>
        </is>
      </c>
      <c r="C232" t="inlineStr">
        <is>
          <t>tech</t>
        </is>
      </c>
      <c r="D232" t="inlineStr">
        <is>
          <t>서울경제</t>
        </is>
      </c>
      <c r="E232" t="inlineStr"/>
      <c r="F232" t="inlineStr">
        <is>
          <t>"민간 주도 수소생태계 구축 시급···정부가 국제 표준화 이끌고 인재양성·R&amp;D지원 나서야"</t>
        </is>
      </c>
      <c r="G232" s="2">
        <f>HYPERLINK("https://www.sedaily.com/NewsView/22MBYVF2BD", "Go to Website")</f>
        <v/>
      </c>
      <c r="H232" t="inlineStr"/>
      <c r="I232" t="inlineStr"/>
      <c r="J232" t="inlineStr"/>
      <c r="K232" t="inlineStr"/>
      <c r="L232" t="inlineStr"/>
      <c r="M232" t="inlineStr"/>
      <c r="N232" t="inlineStr"/>
    </row>
    <row r="233">
      <c r="A233" s="1" t="inlineStr">
        <is>
          <t>2021-05-12</t>
        </is>
      </c>
      <c r="B233" t="inlineStr">
        <is>
          <t>news</t>
        </is>
      </c>
      <c r="C233" t="inlineStr">
        <is>
          <t>economy</t>
        </is>
      </c>
      <c r="D233" t="inlineStr">
        <is>
          <t>전자신문</t>
        </is>
      </c>
      <c r="E233" t="inlineStr">
        <is>
          <t>윤희석</t>
        </is>
      </c>
      <c r="F233" t="inlineStr">
        <is>
          <t>韓 '제조'-이스라엘 '원천기술', R&amp;D 동맹 강화...산업기술 협력 협정 개정</t>
        </is>
      </c>
      <c r="G233" s="2">
        <f>HYPERLINK("http://www.etnews.com/20210512000081", "Go to Website")</f>
        <v/>
      </c>
      <c r="H233" t="inlineStr"/>
      <c r="I233" t="inlineStr">
        <is>
          <t>100</t>
        </is>
      </c>
      <c r="J233" s="3" t="n">
        <v>1</v>
      </c>
      <c r="K233" t="inlineStr">
        <is>
          <t>분류 제외, 기타</t>
        </is>
      </c>
      <c r="L233" t="inlineStr"/>
      <c r="M233" t="inlineStr"/>
      <c r="N233" t="inlineStr"/>
    </row>
    <row r="234">
      <c r="A234" s="1" t="inlineStr">
        <is>
          <t>2021-05-12</t>
        </is>
      </c>
      <c r="B234" t="inlineStr">
        <is>
          <t>news</t>
        </is>
      </c>
      <c r="C234" t="inlineStr">
        <is>
          <t>economy</t>
        </is>
      </c>
      <c r="D234" t="inlineStr">
        <is>
          <t>뉴스1</t>
        </is>
      </c>
      <c r="E234" t="inlineStr">
        <is>
          <t>나혜윤</t>
        </is>
      </c>
      <c r="F234" t="inlineStr">
        <is>
          <t>한-이스라엘 산업기술 협정 개정…공동연구개발기금 2배 확대</t>
        </is>
      </c>
      <c r="G234" s="2">
        <f>HYPERLINK("https://www.news1.kr/articles/?4304279", "Go to Website")</f>
        <v/>
      </c>
      <c r="H234" t="inlineStr"/>
      <c r="I234" t="inlineStr">
        <is>
          <t>100</t>
        </is>
      </c>
      <c r="J234" s="3" t="n">
        <v>1</v>
      </c>
      <c r="K234" t="inlineStr">
        <is>
          <t>분류 제외, 기타</t>
        </is>
      </c>
      <c r="L234" t="inlineStr"/>
      <c r="M234" t="inlineStr"/>
      <c r="N234" t="inlineStr"/>
    </row>
    <row r="235">
      <c r="A235" s="1" t="inlineStr">
        <is>
          <t>2021-05-12</t>
        </is>
      </c>
      <c r="B235" t="inlineStr">
        <is>
          <t>news</t>
        </is>
      </c>
      <c r="C235" t="inlineStr">
        <is>
          <t>economy</t>
        </is>
      </c>
      <c r="D235" t="inlineStr">
        <is>
          <t>뉴시스</t>
        </is>
      </c>
      <c r="E235" t="inlineStr">
        <is>
          <t>이승재</t>
        </is>
      </c>
      <c r="F235" t="inlineStr">
        <is>
          <t>'한·이스라엘 산업 협정' 16년 만에 바뀐다…연구기금 2배↑</t>
        </is>
      </c>
      <c r="G235" s="2">
        <f>HYPERLINK("http://www.newsis.com/view/?id=NISX20210512_0001438741&amp;cID=10401&amp;pID=10400", "Go to Website")</f>
        <v/>
      </c>
      <c r="H235" t="inlineStr"/>
      <c r="I235" t="inlineStr">
        <is>
          <t>100</t>
        </is>
      </c>
      <c r="J235" s="3" t="n">
        <v>0.999</v>
      </c>
      <c r="K235" t="inlineStr">
        <is>
          <t>분류 제외, 기타</t>
        </is>
      </c>
      <c r="L235" t="inlineStr"/>
      <c r="M235" t="inlineStr"/>
      <c r="N235" t="inlineStr"/>
    </row>
    <row r="236">
      <c r="A236" s="1" t="inlineStr">
        <is>
          <t>2021-05-12</t>
        </is>
      </c>
      <c r="B236" t="inlineStr">
        <is>
          <t>news</t>
        </is>
      </c>
      <c r="C236" t="inlineStr">
        <is>
          <t>economy</t>
        </is>
      </c>
      <c r="D236" t="inlineStr">
        <is>
          <t>연합뉴스</t>
        </is>
      </c>
      <c r="E236" t="inlineStr">
        <is>
          <t>김근주</t>
        </is>
      </c>
      <c r="F236" t="inlineStr">
        <is>
          <t>현대차 노조, 국내 일자리 지키기·사무직 처우 개선 논의</t>
        </is>
      </c>
      <c r="G236" s="2">
        <f>HYPERLINK("http://yna.kr/AKR20210512125900057?did=1195m", "Go to Website")</f>
        <v/>
      </c>
      <c r="H236" t="inlineStr"/>
      <c r="I236" t="inlineStr">
        <is>
          <t>C30</t>
        </is>
      </c>
      <c r="J236" s="3" t="n">
        <v>0.998</v>
      </c>
      <c r="K236" t="inlineStr">
        <is>
          <t>자동차 및 트레일러 제조업</t>
        </is>
      </c>
      <c r="L236" t="inlineStr">
        <is>
          <t>0</t>
        </is>
      </c>
      <c r="M236" s="3" t="n">
        <v>0.87</v>
      </c>
      <c r="N236" t="inlineStr">
        <is>
          <t>중립</t>
        </is>
      </c>
    </row>
    <row r="237">
      <c r="A237" s="1" t="inlineStr">
        <is>
          <t>2021-05-12</t>
        </is>
      </c>
      <c r="B237" t="inlineStr">
        <is>
          <t>news</t>
        </is>
      </c>
      <c r="C237" t="inlineStr">
        <is>
          <t>tech</t>
        </is>
      </c>
      <c r="D237" t="inlineStr">
        <is>
          <t>파이낸셜뉴스</t>
        </is>
      </c>
      <c r="E237" t="inlineStr">
        <is>
          <t>김만기</t>
        </is>
      </c>
      <c r="F237" t="inlineStr">
        <is>
          <t>용홍택 차관, 현대제철서 탄소중립 기술혁신 논의</t>
        </is>
      </c>
      <c r="G237" s="2">
        <f>HYPERLINK("http://www.fnnews.com/news/202105121515149698", "Go to Website")</f>
        <v/>
      </c>
      <c r="H237" t="inlineStr"/>
      <c r="I237" t="inlineStr"/>
      <c r="J237" t="inlineStr"/>
      <c r="K237" t="inlineStr"/>
      <c r="L237" t="inlineStr"/>
      <c r="M237" t="inlineStr"/>
      <c r="N237" t="inlineStr"/>
    </row>
    <row r="238">
      <c r="A238" s="1" t="inlineStr">
        <is>
          <t>2021-05-12</t>
        </is>
      </c>
      <c r="B238" t="inlineStr">
        <is>
          <t>news</t>
        </is>
      </c>
      <c r="C238" t="inlineStr">
        <is>
          <t>economy</t>
        </is>
      </c>
      <c r="D238" t="inlineStr">
        <is>
          <t>시사저널</t>
        </is>
      </c>
      <c r="E238" t="inlineStr">
        <is>
          <t>호남본부</t>
        </is>
      </c>
      <c r="F238" t="inlineStr">
        <is>
          <t>[단독] 금호타이어 "빛그린산단에 올 12월 이전 착공 희망"</t>
        </is>
      </c>
      <c r="G238" s="2">
        <f>HYPERLINK("http://www.sisajournal.com/news/articleView.html?idxno=216941", "Go to Website")</f>
        <v/>
      </c>
      <c r="H238" t="inlineStr"/>
      <c r="I238" t="inlineStr">
        <is>
          <t>C22</t>
        </is>
      </c>
      <c r="J238" s="3" t="n">
        <v>0.918</v>
      </c>
      <c r="K238" t="inlineStr">
        <is>
          <t>고무 및 플라스틱제품 제조업</t>
        </is>
      </c>
      <c r="L238" t="inlineStr">
        <is>
          <t>0</t>
        </is>
      </c>
      <c r="M238" s="3" t="n">
        <v>0.886</v>
      </c>
      <c r="N238" t="inlineStr">
        <is>
          <t>중립</t>
        </is>
      </c>
    </row>
    <row r="239">
      <c r="A239" s="1" t="inlineStr">
        <is>
          <t>2021-05-12</t>
        </is>
      </c>
      <c r="B239" t="inlineStr">
        <is>
          <t>news</t>
        </is>
      </c>
      <c r="C239" t="inlineStr">
        <is>
          <t>economy</t>
        </is>
      </c>
      <c r="D239" t="inlineStr">
        <is>
          <t>데일리안</t>
        </is>
      </c>
      <c r="E239" t="inlineStr">
        <is>
          <t>김민희</t>
        </is>
      </c>
      <c r="F239" t="inlineStr">
        <is>
          <t>정만기 회장, “차량반도체 확보·유동성 애로 해소 대책 필요”</t>
        </is>
      </c>
      <c r="G239" s="2">
        <f>HYPERLINK("https://www.dailian.co.kr/news/view/990584/", "Go to Website")</f>
        <v/>
      </c>
      <c r="H239" t="inlineStr"/>
      <c r="I239" t="inlineStr">
        <is>
          <t>N76</t>
        </is>
      </c>
      <c r="J239" s="3" t="n">
        <v>0.798</v>
      </c>
      <c r="K239" t="inlineStr">
        <is>
          <t>임대업; 부동산 제외</t>
        </is>
      </c>
      <c r="L239" t="inlineStr">
        <is>
          <t>0</t>
        </is>
      </c>
      <c r="M239" s="3" t="n">
        <v>0.969</v>
      </c>
      <c r="N239" t="inlineStr">
        <is>
          <t>중립</t>
        </is>
      </c>
    </row>
    <row r="240">
      <c r="A240" s="1" t="inlineStr">
        <is>
          <t>2021-05-12</t>
        </is>
      </c>
      <c r="B240" t="inlineStr">
        <is>
          <t>news</t>
        </is>
      </c>
      <c r="C240" t="inlineStr">
        <is>
          <t>economy</t>
        </is>
      </c>
      <c r="D240" t="inlineStr">
        <is>
          <t>아시아경제</t>
        </is>
      </c>
      <c r="E240" t="inlineStr">
        <is>
          <t>주상돈</t>
        </is>
      </c>
      <c r="F240" t="inlineStr">
        <is>
          <t>[기자수첩]친환경차 구매 못한 지자체·공공기관 속사정</t>
        </is>
      </c>
      <c r="G240" s="2">
        <f>HYPERLINK("https://view.asiae.co.kr/article/2021051210131382092", "Go to Website")</f>
        <v/>
      </c>
      <c r="H240" t="inlineStr"/>
      <c r="I240" t="inlineStr">
        <is>
          <t>100</t>
        </is>
      </c>
      <c r="J240" s="3" t="n">
        <v>0.531</v>
      </c>
      <c r="K240" t="inlineStr">
        <is>
          <t>분류 제외, 기타</t>
        </is>
      </c>
      <c r="L240" t="inlineStr">
        <is>
          <t>0</t>
        </is>
      </c>
      <c r="M240" s="3" t="n">
        <v>0.6</v>
      </c>
      <c r="N240" t="inlineStr">
        <is>
          <t>중립</t>
        </is>
      </c>
    </row>
    <row r="241">
      <c r="A241" s="1" t="inlineStr">
        <is>
          <t>2021-05-12</t>
        </is>
      </c>
      <c r="B241" t="inlineStr">
        <is>
          <t>news</t>
        </is>
      </c>
      <c r="C241" t="inlineStr">
        <is>
          <t>economy</t>
        </is>
      </c>
      <c r="D241" t="inlineStr">
        <is>
          <t>뉴스1</t>
        </is>
      </c>
      <c r="E241" t="inlineStr">
        <is>
          <t>김수정</t>
        </is>
      </c>
      <c r="F241" t="inlineStr">
        <is>
          <t>정부규제 피한 충주 주택시장 활황 ‘충주 모아미래도’ 5월 분양예정</t>
        </is>
      </c>
      <c r="G241" s="2">
        <f>HYPERLINK("https://www.news1.kr/articles/?4304102", "Go to Website")</f>
        <v/>
      </c>
      <c r="H241" t="inlineStr"/>
      <c r="I241" t="inlineStr">
        <is>
          <t>F41</t>
        </is>
      </c>
      <c r="J241" s="3" t="n">
        <v>0.885</v>
      </c>
      <c r="K241" t="inlineStr">
        <is>
          <t>종합 건설업</t>
        </is>
      </c>
      <c r="L241" t="inlineStr"/>
      <c r="M241" t="inlineStr"/>
      <c r="N241" t="inlineStr"/>
    </row>
    <row r="242">
      <c r="A242" s="1" t="inlineStr">
        <is>
          <t>2021-05-12</t>
        </is>
      </c>
      <c r="B242" t="inlineStr">
        <is>
          <t>news</t>
        </is>
      </c>
      <c r="C242" t="inlineStr">
        <is>
          <t>economy</t>
        </is>
      </c>
      <c r="D242" t="inlineStr">
        <is>
          <t>뉴스1</t>
        </is>
      </c>
      <c r="E242" t="inlineStr">
        <is>
          <t>최대호</t>
        </is>
      </c>
      <c r="F242" t="inlineStr">
        <is>
          <t>수원시, 수소전기차 205대 보급…구입 시민에 3250만원 지원</t>
        </is>
      </c>
      <c r="G242" s="2">
        <f>HYPERLINK("https://www.news1.kr/articles/?4304073", "Go to Website")</f>
        <v/>
      </c>
      <c r="H242" t="inlineStr"/>
      <c r="I242" t="inlineStr">
        <is>
          <t>100</t>
        </is>
      </c>
      <c r="J242" s="3" t="n">
        <v>0.728</v>
      </c>
      <c r="K242" t="inlineStr">
        <is>
          <t>분류 제외, 기타</t>
        </is>
      </c>
      <c r="L242" t="inlineStr"/>
      <c r="M242" t="inlineStr"/>
      <c r="N242" t="inlineStr"/>
    </row>
    <row r="243">
      <c r="A243" s="1" t="inlineStr">
        <is>
          <t>2021-05-12</t>
        </is>
      </c>
      <c r="B243" t="inlineStr">
        <is>
          <t>news</t>
        </is>
      </c>
      <c r="C243" t="inlineStr">
        <is>
          <t>economy</t>
        </is>
      </c>
      <c r="D243" t="inlineStr">
        <is>
          <t>부산일보</t>
        </is>
      </c>
      <c r="E243" t="inlineStr">
        <is>
          <t>송현수</t>
        </is>
      </c>
      <c r="F243" t="inlineStr">
        <is>
          <t>‘저공해차 의무구매비율’ 부울경 지자체·공공기관 성적표는?</t>
        </is>
      </c>
      <c r="G243" s="2">
        <f>HYPERLINK("http://www.busan.com/view/busan/view.php?code=2021051206082870907", "Go to Website")</f>
        <v/>
      </c>
      <c r="H243" t="inlineStr"/>
      <c r="I243" t="inlineStr">
        <is>
          <t>100</t>
        </is>
      </c>
      <c r="J243" s="3" t="n">
        <v>0.985</v>
      </c>
      <c r="K243" t="inlineStr">
        <is>
          <t>분류 제외, 기타</t>
        </is>
      </c>
      <c r="L243" t="inlineStr"/>
      <c r="M243" t="inlineStr"/>
      <c r="N243" t="inlineStr"/>
    </row>
    <row r="244">
      <c r="A244" s="1" t="inlineStr">
        <is>
          <t>2021-05-12</t>
        </is>
      </c>
      <c r="B244" t="inlineStr">
        <is>
          <t>news</t>
        </is>
      </c>
      <c r="C244" t="inlineStr">
        <is>
          <t>economy</t>
        </is>
      </c>
      <c r="D244" t="inlineStr">
        <is>
          <t>한경비즈니스</t>
        </is>
      </c>
      <c r="E244" t="inlineStr">
        <is>
          <t>유호승</t>
        </is>
      </c>
      <c r="F244" t="inlineStr">
        <is>
          <t>‘보조금 벌써 바닥’ 속 타는 전기차 계약자…친환경차 질주 급제동</t>
        </is>
      </c>
      <c r="G244" s="2">
        <f>HYPERLINK("https://magazine.hankyung.com/business/article/202105064716b", "Go to Website")</f>
        <v/>
      </c>
      <c r="H244" t="inlineStr"/>
      <c r="I244" t="inlineStr">
        <is>
          <t>C30</t>
        </is>
      </c>
      <c r="J244" s="3" t="n">
        <v>0.991</v>
      </c>
      <c r="K244" t="inlineStr">
        <is>
          <t>자동차 및 트레일러 제조업</t>
        </is>
      </c>
      <c r="L244" t="inlineStr"/>
      <c r="M244" t="inlineStr"/>
      <c r="N244" t="inlineStr"/>
    </row>
    <row r="245">
      <c r="A245" s="1" t="inlineStr">
        <is>
          <t>2021-05-12</t>
        </is>
      </c>
      <c r="B245" t="inlineStr">
        <is>
          <t>news</t>
        </is>
      </c>
      <c r="C245" t="inlineStr">
        <is>
          <t>economy</t>
        </is>
      </c>
      <c r="D245" t="inlineStr">
        <is>
          <t>머니투데이</t>
        </is>
      </c>
      <c r="E245" t="inlineStr">
        <is>
          <t>김민우</t>
        </is>
      </c>
      <c r="F245" t="inlineStr">
        <is>
          <t>[단독]고속도로 출퇴근 통행료할인 유지한다.."코로나 탓"</t>
        </is>
      </c>
      <c r="G245" s="2">
        <f>HYPERLINK("http://news.mt.co.kr/mtview.php?no=2021051115144239175", "Go to Website")</f>
        <v/>
      </c>
      <c r="H245" t="inlineStr"/>
      <c r="I245" t="inlineStr">
        <is>
          <t>L68</t>
        </is>
      </c>
      <c r="J245" s="3" t="n">
        <v>0.5570000000000001</v>
      </c>
      <c r="K245" t="inlineStr">
        <is>
          <t>부동산업</t>
        </is>
      </c>
      <c r="L245" t="inlineStr"/>
      <c r="M245" t="inlineStr"/>
      <c r="N245" t="inlineStr"/>
    </row>
    <row r="246">
      <c r="A246" s="1" t="inlineStr">
        <is>
          <t>2021-05-12</t>
        </is>
      </c>
      <c r="B246" t="inlineStr">
        <is>
          <t>news</t>
        </is>
      </c>
      <c r="C246" t="inlineStr">
        <is>
          <t>economy</t>
        </is>
      </c>
      <c r="D246" t="inlineStr">
        <is>
          <t>매일경제</t>
        </is>
      </c>
      <c r="E246" t="inlineStr">
        <is>
          <t>강민호</t>
        </is>
      </c>
      <c r="F246" t="inlineStr">
        <is>
          <t>반도체 전쟁·원자재값 폭등…경제의 맥 짚어드립니다</t>
        </is>
      </c>
      <c r="G246" s="2">
        <f>HYPERLINK("http://news.mk.co.kr/newsRead.php?no=454729&amp;year=2021", "Go to Website")</f>
        <v/>
      </c>
      <c r="H246" t="inlineStr"/>
      <c r="I246" t="inlineStr">
        <is>
          <t>Q86</t>
        </is>
      </c>
      <c r="J246" s="3" t="n">
        <v>1</v>
      </c>
      <c r="K246" t="inlineStr">
        <is>
          <t>보건업</t>
        </is>
      </c>
      <c r="L246" t="inlineStr"/>
      <c r="M246" t="inlineStr"/>
      <c r="N246" t="inlineStr"/>
    </row>
    <row r="247">
      <c r="A247" s="1" t="inlineStr">
        <is>
          <t>2021-05-11</t>
        </is>
      </c>
      <c r="B247" t="inlineStr">
        <is>
          <t>news</t>
        </is>
      </c>
      <c r="C247" t="inlineStr">
        <is>
          <t>economy</t>
        </is>
      </c>
      <c r="D247" t="inlineStr">
        <is>
          <t>한국경제</t>
        </is>
      </c>
      <c r="E247" t="inlineStr">
        <is>
          <t>민지혜</t>
        </is>
      </c>
      <c r="F247" t="inlineStr">
        <is>
          <t>[마켓인사이트]은행이 달라진다..쿠팡·컬리·빅히트 어려울 때 도와준 '이곳'</t>
        </is>
      </c>
      <c r="G247" s="2">
        <f>HYPERLINK("https://www.hankyung.com/finance/article/202105112178u", "Go to Website")</f>
        <v/>
      </c>
      <c r="H247" t="inlineStr"/>
      <c r="I247" t="inlineStr">
        <is>
          <t>K64</t>
        </is>
      </c>
      <c r="J247" s="3" t="n">
        <v>0.951</v>
      </c>
      <c r="K247" t="inlineStr">
        <is>
          <t>금융업</t>
        </is>
      </c>
      <c r="L247" t="inlineStr">
        <is>
          <t>0</t>
        </is>
      </c>
      <c r="M247" s="3" t="n">
        <v>0.96</v>
      </c>
      <c r="N247" t="inlineStr">
        <is>
          <t>중립</t>
        </is>
      </c>
    </row>
    <row r="248">
      <c r="A248" s="1" t="inlineStr">
        <is>
          <t>2021-05-11</t>
        </is>
      </c>
      <c r="B248" t="inlineStr">
        <is>
          <t>news</t>
        </is>
      </c>
      <c r="C248" t="inlineStr">
        <is>
          <t>economy</t>
        </is>
      </c>
      <c r="D248" t="inlineStr">
        <is>
          <t>부산일보</t>
        </is>
      </c>
      <c r="E248" t="inlineStr">
        <is>
          <t>송현수</t>
        </is>
      </c>
      <c r="F248" t="inlineStr">
        <is>
          <t>공공부문 차량 중 전기·수소차 8.3%…친환경차는 15.8%</t>
        </is>
      </c>
      <c r="G248" s="2">
        <f>HYPERLINK("http://www.busan.com/view/busan/view.php?code=2021051113110916894", "Go to Website")</f>
        <v/>
      </c>
      <c r="H248" t="inlineStr"/>
      <c r="I248" t="inlineStr">
        <is>
          <t>100</t>
        </is>
      </c>
      <c r="J248" s="3" t="n">
        <v>0.475</v>
      </c>
      <c r="K248" t="inlineStr">
        <is>
          <t>분류 제외, 기타</t>
        </is>
      </c>
      <c r="L248" t="inlineStr"/>
      <c r="M248" t="inlineStr"/>
      <c r="N248" t="inlineStr"/>
    </row>
    <row r="249">
      <c r="A249" s="1" t="inlineStr">
        <is>
          <t>2021-05-11</t>
        </is>
      </c>
      <c r="B249" t="inlineStr">
        <is>
          <t>news</t>
        </is>
      </c>
      <c r="C249" t="inlineStr">
        <is>
          <t>economy</t>
        </is>
      </c>
      <c r="D249" t="inlineStr">
        <is>
          <t>파이낸셜뉴스</t>
        </is>
      </c>
      <c r="E249" t="inlineStr">
        <is>
          <t>홍예지</t>
        </is>
      </c>
      <c r="F249" t="inlineStr">
        <is>
          <t>공공기관 저공해차 늘렸지만… 10곳 중 3곳 의무구매율 미달</t>
        </is>
      </c>
      <c r="G249" s="2">
        <f>HYPERLINK("http://www.fnnews.com/news/202105111804331415", "Go to Website")</f>
        <v/>
      </c>
      <c r="H249" t="inlineStr"/>
      <c r="I249" t="inlineStr">
        <is>
          <t>100</t>
        </is>
      </c>
      <c r="J249" s="3" t="n">
        <v>0.977</v>
      </c>
      <c r="K249" t="inlineStr">
        <is>
          <t>분류 제외, 기타</t>
        </is>
      </c>
      <c r="L249" t="inlineStr"/>
      <c r="M249" t="inlineStr"/>
      <c r="N249" t="inlineStr"/>
    </row>
    <row r="250">
      <c r="A250" s="1" t="inlineStr">
        <is>
          <t>2021-05-11</t>
        </is>
      </c>
      <c r="B250" t="inlineStr">
        <is>
          <t>news</t>
        </is>
      </c>
      <c r="C250" t="inlineStr">
        <is>
          <t>economy</t>
        </is>
      </c>
      <c r="D250" t="inlineStr">
        <is>
          <t>매일경제</t>
        </is>
      </c>
      <c r="E250" t="inlineStr">
        <is>
          <t>송민근</t>
        </is>
      </c>
      <c r="F250" t="inlineStr">
        <is>
          <t>민간에 탄소중립 강조하더니…공공기관 15곳 '저공해차 0대'</t>
        </is>
      </c>
      <c r="G250" s="2">
        <f>HYPERLINK("http://news.mk.co.kr/newsRead.php?no=454128&amp;year=2021", "Go to Website")</f>
        <v/>
      </c>
      <c r="H250" t="inlineStr"/>
      <c r="I250" t="inlineStr">
        <is>
          <t>100</t>
        </is>
      </c>
      <c r="J250" s="3" t="n">
        <v>0.676</v>
      </c>
      <c r="K250" t="inlineStr">
        <is>
          <t>분류 제외, 기타</t>
        </is>
      </c>
      <c r="L250" t="inlineStr"/>
      <c r="M250" t="inlineStr"/>
      <c r="N250" t="inlineStr"/>
    </row>
    <row r="251">
      <c r="A251" s="1" t="inlineStr">
        <is>
          <t>2021-05-11</t>
        </is>
      </c>
      <c r="B251" t="inlineStr">
        <is>
          <t>news</t>
        </is>
      </c>
      <c r="C251" t="inlineStr">
        <is>
          <t>economy</t>
        </is>
      </c>
      <c r="D251" t="inlineStr">
        <is>
          <t>한국경제</t>
        </is>
      </c>
      <c r="E251" t="inlineStr">
        <is>
          <t>민지혜</t>
        </is>
      </c>
      <c r="F251" t="inlineStr">
        <is>
          <t>'적자' 마켓컬리·하이브에 대출…혁신기업 성장 발판 돼준 '이 곳'</t>
        </is>
      </c>
      <c r="G251" s="2">
        <f>HYPERLINK("https://www.hankyung.com/economy/article/2021051119141", "Go to Website")</f>
        <v/>
      </c>
      <c r="H251" t="inlineStr"/>
      <c r="I251" t="inlineStr">
        <is>
          <t>K64</t>
        </is>
      </c>
      <c r="J251" s="3" t="n">
        <v>0.857</v>
      </c>
      <c r="K251" t="inlineStr">
        <is>
          <t>금융업</t>
        </is>
      </c>
      <c r="L251" t="inlineStr">
        <is>
          <t>1</t>
        </is>
      </c>
      <c r="M251" s="3" t="n">
        <v>0.475</v>
      </c>
      <c r="N251" t="inlineStr">
        <is>
          <t>긍정</t>
        </is>
      </c>
    </row>
    <row r="252">
      <c r="A252" s="1" t="inlineStr">
        <is>
          <t>2021-05-11</t>
        </is>
      </c>
      <c r="B252" t="inlineStr">
        <is>
          <t>news</t>
        </is>
      </c>
      <c r="C252" t="inlineStr">
        <is>
          <t>economy</t>
        </is>
      </c>
      <c r="D252" t="inlineStr">
        <is>
          <t>한국경제</t>
        </is>
      </c>
      <c r="E252" t="inlineStr">
        <is>
          <t>안재광</t>
        </is>
      </c>
      <c r="F252" t="inlineStr">
        <is>
          <t>"현대차가 너무 앞서갔다"…애물단지 취급 받던 '넥쏘'의 반전</t>
        </is>
      </c>
      <c r="G252" s="2">
        <f>HYPERLINK("https://www.hankyung.com/economy/article/2021051119651", "Go to Website")</f>
        <v/>
      </c>
      <c r="H252" t="inlineStr"/>
      <c r="I252" t="inlineStr">
        <is>
          <t>C30</t>
        </is>
      </c>
      <c r="J252" s="3" t="n">
        <v>0.502</v>
      </c>
      <c r="K252" t="inlineStr">
        <is>
          <t>자동차 및 트레일러 제조업</t>
        </is>
      </c>
      <c r="L252" t="inlineStr">
        <is>
          <t>0</t>
        </is>
      </c>
      <c r="M252" s="3" t="n">
        <v>0.496</v>
      </c>
      <c r="N252" t="inlineStr">
        <is>
          <t>중립</t>
        </is>
      </c>
    </row>
    <row r="253">
      <c r="A253" s="1" t="inlineStr">
        <is>
          <t>2021-05-11</t>
        </is>
      </c>
      <c r="B253" t="inlineStr">
        <is>
          <t>news</t>
        </is>
      </c>
      <c r="C253" t="inlineStr">
        <is>
          <t>economy</t>
        </is>
      </c>
      <c r="D253" t="inlineStr">
        <is>
          <t>연합뉴스</t>
        </is>
      </c>
      <c r="E253" t="inlineStr">
        <is>
          <t>김경태</t>
        </is>
      </c>
      <c r="F253" t="inlineStr">
        <is>
          <t>안산 수소시범도시 첫삽…이재명 "수소에너지로 위기를 기회로"</t>
        </is>
      </c>
      <c r="G253" s="2">
        <f>HYPERLINK("http://yna.kr/AKR20210511148700061?did=1195m", "Go to Website")</f>
        <v/>
      </c>
      <c r="H253" t="inlineStr"/>
      <c r="I253" t="inlineStr">
        <is>
          <t>B07</t>
        </is>
      </c>
      <c r="J253" s="3" t="n">
        <v>0.778</v>
      </c>
      <c r="K253" t="inlineStr">
        <is>
          <t>비금속광물 광업; 연료용 제외</t>
        </is>
      </c>
      <c r="L253" t="inlineStr"/>
      <c r="M253" t="inlineStr"/>
      <c r="N253" t="inlineStr"/>
    </row>
    <row r="254">
      <c r="A254" s="1" t="inlineStr">
        <is>
          <t>2021-05-11</t>
        </is>
      </c>
      <c r="B254" t="inlineStr">
        <is>
          <t>news</t>
        </is>
      </c>
      <c r="C254" t="inlineStr">
        <is>
          <t>economy</t>
        </is>
      </c>
      <c r="D254" t="inlineStr">
        <is>
          <t>이데일리</t>
        </is>
      </c>
      <c r="E254" t="inlineStr">
        <is>
          <t>신민준</t>
        </is>
      </c>
      <c r="F254" t="inlineStr">
        <is>
          <t>지엠비코리아, 현대기아차와 541억원 규모 공급계약 체결</t>
        </is>
      </c>
      <c r="G254" s="2">
        <f>HYPERLINK("http://www.edaily.co.kr/news/newspath.asp?newsid=03106166629047936", "Go to Website")</f>
        <v/>
      </c>
      <c r="H254" t="inlineStr"/>
      <c r="I254" t="inlineStr">
        <is>
          <t>C30</t>
        </is>
      </c>
      <c r="J254" s="3" t="n">
        <v>0.912</v>
      </c>
      <c r="K254" t="inlineStr">
        <is>
          <t>자동차 및 트레일러 제조업</t>
        </is>
      </c>
      <c r="L254" t="inlineStr">
        <is>
          <t>1</t>
        </is>
      </c>
      <c r="M254" s="3" t="n">
        <v>0.999</v>
      </c>
      <c r="N254" t="inlineStr">
        <is>
          <t>긍정</t>
        </is>
      </c>
    </row>
    <row r="255">
      <c r="A255" s="1" t="inlineStr">
        <is>
          <t>2021-05-11</t>
        </is>
      </c>
      <c r="B255" t="inlineStr">
        <is>
          <t>news</t>
        </is>
      </c>
      <c r="C255" t="inlineStr">
        <is>
          <t>economy</t>
        </is>
      </c>
      <c r="D255" t="inlineStr">
        <is>
          <t>연합뉴스</t>
        </is>
      </c>
      <c r="E255" t="inlineStr">
        <is>
          <t>권수현</t>
        </is>
      </c>
      <c r="F255" t="inlineStr">
        <is>
          <t>전해철, 안산 수소시범도시 방문…"수소경제는 새 성장동력"</t>
        </is>
      </c>
      <c r="G255" s="2">
        <f>HYPERLINK("http://yna.kr/AKR20210511105400530?did=1195m", "Go to Website")</f>
        <v/>
      </c>
      <c r="H255" t="inlineStr"/>
      <c r="I255" t="inlineStr">
        <is>
          <t>I55</t>
        </is>
      </c>
      <c r="J255" s="3" t="n">
        <v>0.978</v>
      </c>
      <c r="K255" t="inlineStr">
        <is>
          <t>숙박업</t>
        </is>
      </c>
      <c r="L255" t="inlineStr"/>
      <c r="M255" t="inlineStr"/>
      <c r="N255" t="inlineStr"/>
    </row>
    <row r="256">
      <c r="A256" s="1" t="inlineStr">
        <is>
          <t>2021-05-11</t>
        </is>
      </c>
      <c r="B256" t="inlineStr">
        <is>
          <t>news</t>
        </is>
      </c>
      <c r="C256" t="inlineStr">
        <is>
          <t>economy</t>
        </is>
      </c>
      <c r="D256" t="inlineStr">
        <is>
          <t>디지털타임스</t>
        </is>
      </c>
      <c r="E256" t="inlineStr"/>
      <c r="F256" t="inlineStr">
        <is>
          <t>공공부문 차량 중 전기·수소차 단 8%…의무구매비율 못지킨 120곳 과태료</t>
        </is>
      </c>
      <c r="G256" s="2">
        <f>HYPERLINK("http://www.dt.co.kr/contents.html?article_no=2021051102109958063005", "Go to Website")</f>
        <v/>
      </c>
      <c r="H256" t="inlineStr"/>
      <c r="I256" t="inlineStr">
        <is>
          <t>100</t>
        </is>
      </c>
      <c r="J256" s="3" t="n">
        <v>0.622</v>
      </c>
      <c r="K256" t="inlineStr">
        <is>
          <t>분류 제외, 기타</t>
        </is>
      </c>
      <c r="L256" t="inlineStr"/>
      <c r="M256" t="inlineStr"/>
      <c r="N256" t="inlineStr"/>
    </row>
    <row r="257">
      <c r="A257" s="1" t="inlineStr">
        <is>
          <t>2021-05-11</t>
        </is>
      </c>
      <c r="B257" t="inlineStr">
        <is>
          <t>news</t>
        </is>
      </c>
      <c r="C257" t="inlineStr">
        <is>
          <t>economy</t>
        </is>
      </c>
      <c r="D257" t="inlineStr">
        <is>
          <t>전자신문</t>
        </is>
      </c>
      <c r="E257" t="inlineStr">
        <is>
          <t>이경민</t>
        </is>
      </c>
      <c r="F257" t="inlineStr">
        <is>
          <t>'탄소중립' 외치지만 국가기관 20곳도 저공해차 구매의무 안지켜</t>
        </is>
      </c>
      <c r="G257" s="2">
        <f>HYPERLINK("http://www.etnews.com/20210511000134", "Go to Website")</f>
        <v/>
      </c>
      <c r="H257" t="inlineStr"/>
      <c r="I257" t="inlineStr">
        <is>
          <t>100</t>
        </is>
      </c>
      <c r="J257" s="3" t="n">
        <v>0.63</v>
      </c>
      <c r="K257" t="inlineStr">
        <is>
          <t>분류 제외, 기타</t>
        </is>
      </c>
      <c r="L257" t="inlineStr"/>
      <c r="M257" t="inlineStr"/>
      <c r="N257" t="inlineStr"/>
    </row>
    <row r="258">
      <c r="A258" s="1" t="inlineStr">
        <is>
          <t>2021-05-11</t>
        </is>
      </c>
      <c r="B258" t="inlineStr">
        <is>
          <t>news</t>
        </is>
      </c>
      <c r="C258" t="inlineStr">
        <is>
          <t>economy</t>
        </is>
      </c>
      <c r="D258" t="inlineStr">
        <is>
          <t>문화일보</t>
        </is>
      </c>
      <c r="E258" t="inlineStr">
        <is>
          <t>박수진</t>
        </is>
      </c>
      <c r="F258" t="inlineStr">
        <is>
          <t>美·佛·러 등 ‘SMR 시장 선점’ 경쟁… 韓, 후발주자로 2030년 수출 목표</t>
        </is>
      </c>
      <c r="G258" s="2">
        <f>HYPERLINK("http://www.munhwa.com/news/view.html?no=2021051101072003017002", "Go to Website")</f>
        <v/>
      </c>
      <c r="H258" t="inlineStr"/>
      <c r="I258" t="inlineStr">
        <is>
          <t>100</t>
        </is>
      </c>
      <c r="J258" s="3" t="n">
        <v>0.98</v>
      </c>
      <c r="K258" t="inlineStr">
        <is>
          <t>분류 제외, 기타</t>
        </is>
      </c>
      <c r="L258" t="inlineStr"/>
      <c r="M258" t="inlineStr"/>
      <c r="N258" t="inlineStr"/>
    </row>
    <row r="259">
      <c r="A259" s="1" t="inlineStr">
        <is>
          <t>2021-05-11</t>
        </is>
      </c>
      <c r="B259" t="inlineStr">
        <is>
          <t>news</t>
        </is>
      </c>
      <c r="C259" t="inlineStr">
        <is>
          <t>economy</t>
        </is>
      </c>
      <c r="D259" t="inlineStr">
        <is>
          <t>뉴시스</t>
        </is>
      </c>
      <c r="E259" t="inlineStr">
        <is>
          <t>박주연</t>
        </is>
      </c>
      <c r="F259" t="inlineStr">
        <is>
          <t>자동차연구원, 미래차 R&amp;D 속도…수소트럭 냉각시스템 등 개발</t>
        </is>
      </c>
      <c r="G259" s="2">
        <f>HYPERLINK("http://www.newsis.com/view/?id=NISX20210511_0001436880&amp;cID=13001&amp;pID=13000", "Go to Website")</f>
        <v/>
      </c>
      <c r="H259" t="inlineStr"/>
      <c r="I259" t="inlineStr">
        <is>
          <t>C30</t>
        </is>
      </c>
      <c r="J259" s="3" t="n">
        <v>0.403</v>
      </c>
      <c r="K259" t="inlineStr">
        <is>
          <t>자동차 및 트레일러 제조업</t>
        </is>
      </c>
      <c r="L259" t="inlineStr">
        <is>
          <t>1</t>
        </is>
      </c>
      <c r="M259" s="3" t="n">
        <v>0.838</v>
      </c>
      <c r="N259" t="inlineStr">
        <is>
          <t>긍정</t>
        </is>
      </c>
    </row>
    <row r="260">
      <c r="A260" s="1" t="inlineStr">
        <is>
          <t>2021-05-11</t>
        </is>
      </c>
      <c r="B260" t="inlineStr">
        <is>
          <t>news</t>
        </is>
      </c>
      <c r="C260" t="inlineStr">
        <is>
          <t>economy</t>
        </is>
      </c>
      <c r="D260" t="inlineStr">
        <is>
          <t>전자신문</t>
        </is>
      </c>
      <c r="E260" t="inlineStr">
        <is>
          <t>윤희석</t>
        </is>
      </c>
      <c r="F260" t="inlineStr">
        <is>
          <t>작년 공공부문 신규차량 10대 중 7대 '저공해차'…"의무구매제 단계적 강화"</t>
        </is>
      </c>
      <c r="G260" s="2">
        <f>HYPERLINK("http://www.etnews.com/20210511000086", "Go to Website")</f>
        <v/>
      </c>
      <c r="H260" t="inlineStr"/>
      <c r="I260" t="inlineStr">
        <is>
          <t>N76</t>
        </is>
      </c>
      <c r="J260" s="3" t="n">
        <v>0.715</v>
      </c>
      <c r="K260" t="inlineStr">
        <is>
          <t>임대업; 부동산 제외</t>
        </is>
      </c>
      <c r="L260" t="inlineStr"/>
      <c r="M260" t="inlineStr"/>
      <c r="N260" t="inlineStr"/>
    </row>
    <row r="261">
      <c r="A261" s="1" t="inlineStr">
        <is>
          <t>2021-05-11</t>
        </is>
      </c>
      <c r="B261" t="inlineStr">
        <is>
          <t>news</t>
        </is>
      </c>
      <c r="C261" t="inlineStr">
        <is>
          <t>economy</t>
        </is>
      </c>
      <c r="D261" t="inlineStr">
        <is>
          <t>조선비즈</t>
        </is>
      </c>
      <c r="E261" t="inlineStr">
        <is>
          <t>박정엽</t>
        </is>
      </c>
      <c r="F261" t="inlineStr">
        <is>
          <t>한전·세종시, 전기차 의무구매 안지켜 과태료</t>
        </is>
      </c>
      <c r="G261" s="2">
        <f>HYPERLINK("https://biz.chosun.com/policy/policy_sub/2021/05/11/NUD32X3ZKNAJFFECBT7BMIGF4M/?utm_medium=original&amp;utm_campaign=biz", "Go to Website")</f>
        <v/>
      </c>
      <c r="H261" t="inlineStr"/>
      <c r="I261" t="inlineStr">
        <is>
          <t>100</t>
        </is>
      </c>
      <c r="J261" s="3" t="n">
        <v>0.999</v>
      </c>
      <c r="K261" t="inlineStr">
        <is>
          <t>분류 제외, 기타</t>
        </is>
      </c>
      <c r="L261" t="inlineStr">
        <is>
          <t>0</t>
        </is>
      </c>
      <c r="M261" s="3" t="n">
        <v>0.961</v>
      </c>
      <c r="N261" t="inlineStr">
        <is>
          <t>중립</t>
        </is>
      </c>
    </row>
    <row r="262">
      <c r="A262" s="1" t="inlineStr">
        <is>
          <t>2021-05-11</t>
        </is>
      </c>
      <c r="B262" t="inlineStr">
        <is>
          <t>news</t>
        </is>
      </c>
      <c r="C262" t="inlineStr">
        <is>
          <t>economy</t>
        </is>
      </c>
      <c r="D262" t="inlineStr">
        <is>
          <t>뉴시스</t>
        </is>
      </c>
      <c r="E262" t="inlineStr">
        <is>
          <t>정성원</t>
        </is>
      </c>
      <c r="F262" t="inlineStr">
        <is>
          <t>저공해차 의무구매 미달 공공기관 187곳…120곳 과태료 최대 300만원(종합)</t>
        </is>
      </c>
      <c r="G262" s="2">
        <f>HYPERLINK("http://www.newsis.com/view/?id=NISX20210511_0001436618&amp;cID=10201&amp;pID=10200", "Go to Website")</f>
        <v/>
      </c>
      <c r="H262" t="inlineStr"/>
      <c r="I262" t="inlineStr">
        <is>
          <t>100</t>
        </is>
      </c>
      <c r="J262" s="3" t="n">
        <v>0.984</v>
      </c>
      <c r="K262" t="inlineStr">
        <is>
          <t>분류 제외, 기타</t>
        </is>
      </c>
      <c r="L262" t="inlineStr">
        <is>
          <t>0</t>
        </is>
      </c>
      <c r="M262" s="3" t="n">
        <v>0.911</v>
      </c>
      <c r="N262" t="inlineStr">
        <is>
          <t>중립</t>
        </is>
      </c>
    </row>
    <row r="263">
      <c r="A263" s="1" t="inlineStr">
        <is>
          <t>2021-05-11</t>
        </is>
      </c>
      <c r="B263" t="inlineStr">
        <is>
          <t>news</t>
        </is>
      </c>
      <c r="C263" t="inlineStr">
        <is>
          <t>economy</t>
        </is>
      </c>
      <c r="D263" t="inlineStr">
        <is>
          <t>아이뉴스24</t>
        </is>
      </c>
      <c r="E263" t="inlineStr">
        <is>
          <t>정종오</t>
        </is>
      </c>
      <c r="F263" t="inlineStr">
        <is>
          <t>지난해 공공부문 신규차량 중 저공해차 78% 차지</t>
        </is>
      </c>
      <c r="G263" s="2">
        <f>HYPERLINK("http://www.inews24.com/view/1365882", "Go to Website")</f>
        <v/>
      </c>
      <c r="H263" t="inlineStr"/>
      <c r="I263" t="inlineStr">
        <is>
          <t>100</t>
        </is>
      </c>
      <c r="J263" s="3" t="n">
        <v>0.999</v>
      </c>
      <c r="K263" t="inlineStr">
        <is>
          <t>분류 제외, 기타</t>
        </is>
      </c>
      <c r="L263" t="inlineStr"/>
      <c r="M263" t="inlineStr"/>
      <c r="N263" t="inlineStr"/>
    </row>
    <row r="264">
      <c r="A264" s="1" t="inlineStr">
        <is>
          <t>2021-05-11</t>
        </is>
      </c>
      <c r="B264" t="inlineStr">
        <is>
          <t>news</t>
        </is>
      </c>
      <c r="C264" t="inlineStr">
        <is>
          <t>economy</t>
        </is>
      </c>
      <c r="D264" t="inlineStr">
        <is>
          <t>노컷뉴스</t>
        </is>
      </c>
      <c r="E264" t="inlineStr">
        <is>
          <t>김명지</t>
        </is>
      </c>
      <c r="F264" t="inlineStr">
        <is>
          <t>지난해 공공부문 새 차 중 저공해차 78%에 그쳐</t>
        </is>
      </c>
      <c r="G264" s="2">
        <f>HYPERLINK("https://www.nocutnews.co.kr/news/5550496", "Go to Website")</f>
        <v/>
      </c>
      <c r="H264" t="inlineStr"/>
      <c r="I264" t="inlineStr">
        <is>
          <t>N76</t>
        </is>
      </c>
      <c r="J264" s="3" t="n">
        <v>0.651</v>
      </c>
      <c r="K264" t="inlineStr">
        <is>
          <t>임대업; 부동산 제외</t>
        </is>
      </c>
      <c r="L264" t="inlineStr"/>
      <c r="M264" t="inlineStr"/>
      <c r="N264" t="inlineStr"/>
    </row>
    <row r="265">
      <c r="A265" s="1" t="inlineStr">
        <is>
          <t>2021-05-11</t>
        </is>
      </c>
      <c r="B265" t="inlineStr">
        <is>
          <t>news</t>
        </is>
      </c>
      <c r="C265" t="inlineStr">
        <is>
          <t>economy</t>
        </is>
      </c>
      <c r="D265" t="inlineStr">
        <is>
          <t>서울경제</t>
        </is>
      </c>
      <c r="E265" t="inlineStr">
        <is>
          <t>조지원</t>
        </is>
      </c>
      <c r="F265" t="inlineStr">
        <is>
          <t>지난해 공공기관 신규차량 78%가 저공해차···“올해 97% 구매 예정”</t>
        </is>
      </c>
      <c r="G265" s="2">
        <f>HYPERLINK("https://www.sedaily.com/NewsView/22MBHLO3C1", "Go to Website")</f>
        <v/>
      </c>
      <c r="H265" t="inlineStr"/>
      <c r="I265" t="inlineStr">
        <is>
          <t>100</t>
        </is>
      </c>
      <c r="J265" s="3" t="n">
        <v>0.6850000000000001</v>
      </c>
      <c r="K265" t="inlineStr">
        <is>
          <t>분류 제외, 기타</t>
        </is>
      </c>
      <c r="L265" t="inlineStr"/>
      <c r="M265" t="inlineStr"/>
      <c r="N265" t="inlineStr"/>
    </row>
    <row r="266">
      <c r="A266" s="1" t="inlineStr">
        <is>
          <t>2021-05-11</t>
        </is>
      </c>
      <c r="B266" t="inlineStr">
        <is>
          <t>news</t>
        </is>
      </c>
      <c r="C266" t="inlineStr">
        <is>
          <t>tech</t>
        </is>
      </c>
      <c r="D266" t="inlineStr">
        <is>
          <t>ZDNet Korea</t>
        </is>
      </c>
      <c r="E266" t="inlineStr">
        <is>
          <t>박영민</t>
        </is>
      </c>
      <c r="F266" t="inlineStr">
        <is>
          <t>공공기관들, 지난해 저공해차 7736대 구입…비중 78%</t>
        </is>
      </c>
      <c r="G266" s="2">
        <f>HYPERLINK("https://zdnet.co.kr/view/?no=20210511095439", "Go to Website")</f>
        <v/>
      </c>
      <c r="H266" t="inlineStr"/>
      <c r="I266" t="inlineStr"/>
      <c r="J266" t="inlineStr"/>
      <c r="K266" t="inlineStr"/>
      <c r="L266" t="inlineStr"/>
      <c r="M266" t="inlineStr"/>
      <c r="N266" t="inlineStr"/>
    </row>
    <row r="267">
      <c r="A267" s="1" t="inlineStr">
        <is>
          <t>2021-05-11</t>
        </is>
      </c>
      <c r="B267" t="inlineStr">
        <is>
          <t>news</t>
        </is>
      </c>
      <c r="C267" t="inlineStr">
        <is>
          <t>economy</t>
        </is>
      </c>
      <c r="D267" t="inlineStr">
        <is>
          <t>파이낸셜뉴스</t>
        </is>
      </c>
      <c r="E267" t="inlineStr">
        <is>
          <t>홍예지</t>
        </is>
      </c>
      <c r="F267" t="inlineStr">
        <is>
          <t>공공기관 2023년 전기·수소차만 사야…의무구매비율 80%→100%</t>
        </is>
      </c>
      <c r="G267" s="2">
        <f>HYPERLINK("http://www.fnnews.com/news/202105110917065791", "Go to Website")</f>
        <v/>
      </c>
      <c r="H267" t="inlineStr"/>
      <c r="I267" t="inlineStr">
        <is>
          <t>100</t>
        </is>
      </c>
      <c r="J267" s="3" t="n">
        <v>0.515</v>
      </c>
      <c r="K267" t="inlineStr">
        <is>
          <t>분류 제외, 기타</t>
        </is>
      </c>
      <c r="L267" t="inlineStr"/>
      <c r="M267" t="inlineStr"/>
      <c r="N267" t="inlineStr"/>
    </row>
    <row r="268">
      <c r="A268" s="1" t="inlineStr">
        <is>
          <t>2021-05-11</t>
        </is>
      </c>
      <c r="B268" t="inlineStr">
        <is>
          <t>news</t>
        </is>
      </c>
      <c r="C268" t="inlineStr">
        <is>
          <t>economy</t>
        </is>
      </c>
      <c r="D268" t="inlineStr">
        <is>
          <t>아시아경제</t>
        </is>
      </c>
      <c r="E268" t="inlineStr">
        <is>
          <t>주상돈</t>
        </is>
      </c>
      <c r="F268" t="inlineStr">
        <is>
          <t>공공기관 지난해 저공해차 6060대 구매…1년전보다 28% 늘어</t>
        </is>
      </c>
      <c r="G268" s="2">
        <f>HYPERLINK("https://view.asiae.co.kr/article/2021051108304860829", "Go to Website")</f>
        <v/>
      </c>
      <c r="H268" t="inlineStr"/>
      <c r="I268" t="inlineStr">
        <is>
          <t>100</t>
        </is>
      </c>
      <c r="J268" s="3" t="n">
        <v>0.78</v>
      </c>
      <c r="K268" t="inlineStr">
        <is>
          <t>분류 제외, 기타</t>
        </is>
      </c>
      <c r="L268" t="inlineStr"/>
      <c r="M268" t="inlineStr"/>
      <c r="N268" t="inlineStr"/>
    </row>
    <row r="269">
      <c r="A269" s="1" t="inlineStr">
        <is>
          <t>2021-05-11</t>
        </is>
      </c>
      <c r="B269" t="inlineStr">
        <is>
          <t>news</t>
        </is>
      </c>
      <c r="C269" t="inlineStr">
        <is>
          <t>economy</t>
        </is>
      </c>
      <c r="D269" t="inlineStr">
        <is>
          <t>뉴스1</t>
        </is>
      </c>
      <c r="E269" t="inlineStr">
        <is>
          <t>박기락</t>
        </is>
      </c>
      <c r="F269" t="inlineStr">
        <is>
          <t>작년 공공부문 구입 신규차량 10대중 7대는 '친환경차'</t>
        </is>
      </c>
      <c r="G269" s="2">
        <f>HYPERLINK("https://www.news1.kr/articles/?4302439", "Go to Website")</f>
        <v/>
      </c>
      <c r="H269" t="inlineStr"/>
      <c r="I269" t="inlineStr">
        <is>
          <t>H49</t>
        </is>
      </c>
      <c r="J269" s="3" t="n">
        <v>0.65</v>
      </c>
      <c r="K269" t="inlineStr">
        <is>
          <t>육상 운송 및 파이프라인 운송업</t>
        </is>
      </c>
      <c r="L269" t="inlineStr"/>
      <c r="M269" t="inlineStr"/>
      <c r="N269" t="inlineStr"/>
    </row>
    <row r="270">
      <c r="A270" s="1" t="inlineStr">
        <is>
          <t>2021-05-11</t>
        </is>
      </c>
      <c r="B270" t="inlineStr">
        <is>
          <t>news</t>
        </is>
      </c>
      <c r="C270" t="inlineStr">
        <is>
          <t>economy</t>
        </is>
      </c>
      <c r="D270" t="inlineStr">
        <is>
          <t>디지털타임스</t>
        </is>
      </c>
      <c r="E270" t="inlineStr"/>
      <c r="F270" t="inlineStr">
        <is>
          <t>지난해 공공부문 저공해차 의무구매비율 `미달` 120곳에 과태료</t>
        </is>
      </c>
      <c r="G270" s="2">
        <f>HYPERLINK("http://www.dt.co.kr/contents.html?article_no=2021051102109958063002", "Go to Website")</f>
        <v/>
      </c>
      <c r="H270" t="inlineStr"/>
      <c r="I270" t="inlineStr">
        <is>
          <t>100</t>
        </is>
      </c>
      <c r="J270" s="3" t="n">
        <v>0.896</v>
      </c>
      <c r="K270" t="inlineStr">
        <is>
          <t>분류 제외, 기타</t>
        </is>
      </c>
      <c r="L270" t="inlineStr"/>
      <c r="M270" t="inlineStr"/>
      <c r="N270" t="inlineStr"/>
    </row>
    <row r="271">
      <c r="A271" s="1" t="inlineStr">
        <is>
          <t>2021-05-11</t>
        </is>
      </c>
      <c r="B271" t="inlineStr">
        <is>
          <t>news</t>
        </is>
      </c>
      <c r="C271" t="inlineStr">
        <is>
          <t>economy</t>
        </is>
      </c>
      <c r="D271" t="inlineStr">
        <is>
          <t>뉴시스</t>
        </is>
      </c>
      <c r="E271" t="inlineStr">
        <is>
          <t>정성원</t>
        </is>
      </c>
      <c r="F271" t="inlineStr">
        <is>
          <t>저공해차 의무구매 미달 공공기관 187곳…120곳 과태료 최대 300만원</t>
        </is>
      </c>
      <c r="G271" s="2">
        <f>HYPERLINK("http://www.newsis.com/view/?id=NISX20210511_0001436307&amp;cID=10201&amp;pID=10200", "Go to Website")</f>
        <v/>
      </c>
      <c r="H271" t="inlineStr"/>
      <c r="I271" t="inlineStr">
        <is>
          <t>100</t>
        </is>
      </c>
      <c r="J271" s="3" t="n">
        <v>0.973</v>
      </c>
      <c r="K271" t="inlineStr">
        <is>
          <t>분류 제외, 기타</t>
        </is>
      </c>
      <c r="L271" t="inlineStr">
        <is>
          <t>0</t>
        </is>
      </c>
      <c r="M271" s="3" t="n">
        <v>0.92</v>
      </c>
      <c r="N271" t="inlineStr">
        <is>
          <t>중립</t>
        </is>
      </c>
    </row>
    <row r="272">
      <c r="A272" s="1" t="inlineStr">
        <is>
          <t>2021-05-11</t>
        </is>
      </c>
      <c r="B272" t="inlineStr">
        <is>
          <t>news</t>
        </is>
      </c>
      <c r="C272" t="inlineStr">
        <is>
          <t>economy</t>
        </is>
      </c>
      <c r="D272" t="inlineStr">
        <is>
          <t>연합뉴스</t>
        </is>
      </c>
      <c r="E272" t="inlineStr">
        <is>
          <t>이영재</t>
        </is>
      </c>
      <c r="F272" t="inlineStr">
        <is>
          <t>공공부문 차량 중 전기·수소차 8.3%…친환경차는 15.8%</t>
        </is>
      </c>
      <c r="G272" s="2">
        <f>HYPERLINK("http://yna.kr/AKR20210511039700530?did=1195m", "Go to Website")</f>
        <v/>
      </c>
      <c r="H272" t="inlineStr"/>
      <c r="I272" t="inlineStr">
        <is>
          <t>100</t>
        </is>
      </c>
      <c r="J272" s="3" t="n">
        <v>0.842</v>
      </c>
      <c r="K272" t="inlineStr">
        <is>
          <t>분류 제외, 기타</t>
        </is>
      </c>
      <c r="L272" t="inlineStr"/>
      <c r="M272" t="inlineStr"/>
      <c r="N272" t="inlineStr"/>
    </row>
    <row r="273">
      <c r="A273" s="1" t="inlineStr">
        <is>
          <t>2021-05-11</t>
        </is>
      </c>
      <c r="B273" t="inlineStr">
        <is>
          <t>news</t>
        </is>
      </c>
      <c r="C273" t="inlineStr">
        <is>
          <t>economy</t>
        </is>
      </c>
      <c r="D273" t="inlineStr">
        <is>
          <t>데일리안</t>
        </is>
      </c>
      <c r="E273" t="inlineStr">
        <is>
          <t>배군득</t>
        </is>
      </c>
      <c r="F273" t="inlineStr">
        <is>
          <t>지난해 공공부문 저공해차 78%…의무구매 단계적 강화</t>
        </is>
      </c>
      <c r="G273" s="2">
        <f>HYPERLINK("https://www.dailian.co.kr/news/view/990008/", "Go to Website")</f>
        <v/>
      </c>
      <c r="H273" t="inlineStr"/>
      <c r="I273" t="inlineStr">
        <is>
          <t>100</t>
        </is>
      </c>
      <c r="J273" s="3" t="n">
        <v>0.894</v>
      </c>
      <c r="K273" t="inlineStr">
        <is>
          <t>분류 제외, 기타</t>
        </is>
      </c>
      <c r="L273" t="inlineStr"/>
      <c r="M273" t="inlineStr"/>
      <c r="N273" t="inlineStr"/>
    </row>
    <row r="274">
      <c r="A274" s="1" t="inlineStr">
        <is>
          <t>2021-05-11</t>
        </is>
      </c>
      <c r="B274" t="inlineStr">
        <is>
          <t>news</t>
        </is>
      </c>
      <c r="C274" t="inlineStr">
        <is>
          <t>economy</t>
        </is>
      </c>
      <c r="D274" t="inlineStr">
        <is>
          <t>동아일보</t>
        </is>
      </c>
      <c r="E274" t="inlineStr">
        <is>
          <t>태현지</t>
        </is>
      </c>
      <c r="F274" t="inlineStr">
        <is>
          <t>NB라텍스-합성고무 등 주력제품 R&amp;D 확대</t>
        </is>
      </c>
      <c r="G274" s="2">
        <f>HYPERLINK("https://www.donga.com/news/article/all/20210510/106839572/1", "Go to Website")</f>
        <v/>
      </c>
      <c r="H274" t="inlineStr"/>
      <c r="I274" t="inlineStr">
        <is>
          <t>C20</t>
        </is>
      </c>
      <c r="J274" s="3" t="n">
        <v>0.774</v>
      </c>
      <c r="K274" t="inlineStr">
        <is>
          <t>화학 물질 및 화학제품 제조업; 의약품 제외</t>
        </is>
      </c>
      <c r="L274" t="inlineStr"/>
      <c r="M274" t="inlineStr"/>
      <c r="N274" t="inlineStr"/>
    </row>
    <row r="275">
      <c r="A275" s="1" t="inlineStr">
        <is>
          <t>2021-05-11</t>
        </is>
      </c>
      <c r="B275" t="inlineStr">
        <is>
          <t>news</t>
        </is>
      </c>
      <c r="C275" t="inlineStr">
        <is>
          <t>economy</t>
        </is>
      </c>
      <c r="D275" t="inlineStr">
        <is>
          <t>조선일보</t>
        </is>
      </c>
      <c r="E275" t="inlineStr">
        <is>
          <t>안준호</t>
        </is>
      </c>
      <c r="F275" t="inlineStr">
        <is>
          <t>대기업 ‘수소 전쟁’에 현대중공업도 참전</t>
        </is>
      </c>
      <c r="G275" s="2">
        <f>HYPERLINK("https://www.chosun.com/economy/industry-company/2021/05/11/AKHC23CTB5GBDB7OVNE3CYGAOY/?utm_medium=referral&amp;utm_campaign=naver-news", "Go to Website")</f>
        <v/>
      </c>
      <c r="H275" t="inlineStr"/>
      <c r="I275" t="inlineStr">
        <is>
          <t>100</t>
        </is>
      </c>
      <c r="J275" s="3" t="n">
        <v>0.99</v>
      </c>
      <c r="K275" t="inlineStr">
        <is>
          <t>분류 제외, 기타</t>
        </is>
      </c>
      <c r="L275" t="inlineStr"/>
      <c r="M275" t="inlineStr"/>
      <c r="N275" t="inlineStr"/>
    </row>
    <row r="276">
      <c r="A276" s="1" t="inlineStr">
        <is>
          <t>2021-05-10</t>
        </is>
      </c>
      <c r="B276" t="inlineStr">
        <is>
          <t>news</t>
        </is>
      </c>
      <c r="C276" t="inlineStr">
        <is>
          <t>economy</t>
        </is>
      </c>
      <c r="D276" t="inlineStr">
        <is>
          <t>매일경제</t>
        </is>
      </c>
      <c r="E276" t="inlineStr">
        <is>
          <t>송민근</t>
        </is>
      </c>
      <c r="F276" t="inlineStr">
        <is>
          <t>인허가권 가져간 환경부, 16곳 수소충전소 강행</t>
        </is>
      </c>
      <c r="G276" s="2">
        <f>HYPERLINK("http://news.mk.co.kr/newsRead.php?no=449937&amp;year=2021", "Go to Website")</f>
        <v/>
      </c>
      <c r="H276" t="inlineStr"/>
      <c r="I276" t="inlineStr">
        <is>
          <t>J58</t>
        </is>
      </c>
      <c r="J276" s="3" t="n">
        <v>0.674</v>
      </c>
      <c r="K276" t="inlineStr">
        <is>
          <t>출판업</t>
        </is>
      </c>
      <c r="L276" t="inlineStr"/>
      <c r="M276" t="inlineStr"/>
      <c r="N276" t="inlineStr"/>
    </row>
    <row r="277">
      <c r="A277" s="1" t="inlineStr">
        <is>
          <t>2021-05-10</t>
        </is>
      </c>
      <c r="B277" t="inlineStr">
        <is>
          <t>news</t>
        </is>
      </c>
      <c r="C277" t="inlineStr">
        <is>
          <t>economy</t>
        </is>
      </c>
      <c r="D277" t="inlineStr">
        <is>
          <t>국민일보</t>
        </is>
      </c>
      <c r="E277" t="inlineStr"/>
      <c r="F277" t="inlineStr">
        <is>
          <t>H2KOREA-신한은행, 금융지원으로 수소산업 확대 협력</t>
        </is>
      </c>
      <c r="G277" s="2">
        <f>HYPERLINK("http://news.kmib.co.kr/article/view.asp?arcid=0015830320&amp;code=61141411", "Go to Website")</f>
        <v/>
      </c>
      <c r="H277" t="inlineStr"/>
      <c r="I277" t="inlineStr">
        <is>
          <t>K64</t>
        </is>
      </c>
      <c r="J277" s="3" t="n">
        <v>0.981</v>
      </c>
      <c r="K277" t="inlineStr">
        <is>
          <t>금융업</t>
        </is>
      </c>
      <c r="L277" t="inlineStr"/>
      <c r="M277" t="inlineStr"/>
      <c r="N277" t="inlineStr"/>
    </row>
    <row r="278">
      <c r="A278" s="1" t="inlineStr">
        <is>
          <t>2021-05-10</t>
        </is>
      </c>
      <c r="B278" t="inlineStr">
        <is>
          <t>news</t>
        </is>
      </c>
      <c r="C278" t="inlineStr">
        <is>
          <t>economy</t>
        </is>
      </c>
      <c r="D278" t="inlineStr">
        <is>
          <t>매경이코노미</t>
        </is>
      </c>
      <c r="E278" t="inlineStr">
        <is>
          <t>김기진</t>
        </is>
      </c>
      <c r="F278" t="inlineStr">
        <is>
          <t>금호석유화학  R&amp;D 강화로 미래 성장동력 확보한다</t>
        </is>
      </c>
      <c r="G278" s="2">
        <f>HYPERLINK("http://news.mk.co.kr/v2/economy/view.php?year=2021&amp;no=448724", "Go to Website")</f>
        <v/>
      </c>
      <c r="H278" t="inlineStr"/>
      <c r="I278" t="inlineStr">
        <is>
          <t>C20</t>
        </is>
      </c>
      <c r="J278" s="3" t="n">
        <v>0.999</v>
      </c>
      <c r="K278" t="inlineStr">
        <is>
          <t>화학 물질 및 화학제품 제조업; 의약품 제외</t>
        </is>
      </c>
      <c r="L278" t="inlineStr"/>
      <c r="M278" t="inlineStr"/>
      <c r="N278" t="inlineStr"/>
    </row>
    <row r="279">
      <c r="A279" s="1" t="inlineStr">
        <is>
          <t>2021-05-10</t>
        </is>
      </c>
      <c r="B279" t="inlineStr">
        <is>
          <t>news</t>
        </is>
      </c>
      <c r="C279" t="inlineStr">
        <is>
          <t>economy</t>
        </is>
      </c>
      <c r="D279" t="inlineStr">
        <is>
          <t>스포츠동아</t>
        </is>
      </c>
      <c r="E279" t="inlineStr">
        <is>
          <t>원성열</t>
        </is>
      </c>
      <c r="F279" t="inlineStr">
        <is>
          <t>진화하는 전기차 충전 서비스…더 편리하고 다양해진다</t>
        </is>
      </c>
      <c r="G279" s="2">
        <f>HYPERLINK("https://sports.donga.com/article/all/20210510/106845748/2", "Go to Website")</f>
        <v/>
      </c>
      <c r="H279" t="inlineStr"/>
      <c r="I279" t="inlineStr">
        <is>
          <t>C32</t>
        </is>
      </c>
      <c r="J279" s="3" t="n">
        <v>0.635</v>
      </c>
      <c r="K279" t="inlineStr">
        <is>
          <t>가구 제조업</t>
        </is>
      </c>
      <c r="L279" t="inlineStr"/>
      <c r="M279" t="inlineStr"/>
      <c r="N279" t="inlineStr"/>
    </row>
    <row r="280">
      <c r="A280" s="1" t="inlineStr">
        <is>
          <t>2021-05-10</t>
        </is>
      </c>
      <c r="B280" t="inlineStr">
        <is>
          <t>news</t>
        </is>
      </c>
      <c r="C280" t="inlineStr">
        <is>
          <t>tech</t>
        </is>
      </c>
      <c r="D280" t="inlineStr">
        <is>
          <t>ZDNet Korea</t>
        </is>
      </c>
      <c r="E280" t="inlineStr">
        <is>
          <t>박수형</t>
        </is>
      </c>
      <c r="F280" t="inlineStr">
        <is>
          <t>文대통령 "임기말까지 디지털 뉴딜 성과내겠다"</t>
        </is>
      </c>
      <c r="G280" s="2">
        <f>HYPERLINK("https://zdnet.co.kr/view/?no=20210510122327", "Go to Website")</f>
        <v/>
      </c>
      <c r="H280" t="inlineStr"/>
      <c r="I280" t="inlineStr"/>
      <c r="J280" t="inlineStr"/>
      <c r="K280" t="inlineStr"/>
      <c r="L280" t="inlineStr"/>
      <c r="M280" t="inlineStr"/>
      <c r="N280" t="inlineStr"/>
    </row>
    <row r="281">
      <c r="A281" s="1" t="inlineStr">
        <is>
          <t>2021-05-10</t>
        </is>
      </c>
      <c r="B281" t="inlineStr">
        <is>
          <t>news</t>
        </is>
      </c>
      <c r="C281" t="inlineStr">
        <is>
          <t>economy</t>
        </is>
      </c>
      <c r="D281" t="inlineStr">
        <is>
          <t>한국경제</t>
        </is>
      </c>
      <c r="E281" t="inlineStr">
        <is>
          <t>이호기</t>
        </is>
      </c>
      <c r="F281" t="inlineStr">
        <is>
          <t>'테슬라 납품업체' 구한 기업구조혁신펀드 1조 추가 조성</t>
        </is>
      </c>
      <c r="G281" s="2">
        <f>HYPERLINK("https://www.hankyung.com/economy/article/202105104934i", "Go to Website")</f>
        <v/>
      </c>
      <c r="H281" t="inlineStr"/>
      <c r="I281" t="inlineStr">
        <is>
          <t>100</t>
        </is>
      </c>
      <c r="J281" s="3" t="n">
        <v>0.255</v>
      </c>
      <c r="K281" t="inlineStr">
        <is>
          <t>분류 제외, 기타</t>
        </is>
      </c>
      <c r="L281" t="inlineStr"/>
      <c r="M281" t="inlineStr"/>
      <c r="N281" t="inlineStr"/>
    </row>
    <row r="282">
      <c r="A282" s="1" t="inlineStr">
        <is>
          <t>2021-05-10</t>
        </is>
      </c>
      <c r="B282" t="inlineStr">
        <is>
          <t>news</t>
        </is>
      </c>
      <c r="C282" t="inlineStr">
        <is>
          <t>economy</t>
        </is>
      </c>
      <c r="D282" t="inlineStr">
        <is>
          <t>아시아경제</t>
        </is>
      </c>
      <c r="E282" t="inlineStr">
        <is>
          <t>박소연</t>
        </is>
      </c>
      <c r="F282" t="inlineStr">
        <is>
          <t>레드캡투어, 코로나19 위기를 기회로</t>
        </is>
      </c>
      <c r="G282" s="2">
        <f>HYPERLINK("https://view.asiae.co.kr/article/2021051011001862988", "Go to Website")</f>
        <v/>
      </c>
      <c r="H282" t="inlineStr"/>
      <c r="I282" t="inlineStr">
        <is>
          <t>Q86</t>
        </is>
      </c>
      <c r="J282" s="3" t="n">
        <v>1</v>
      </c>
      <c r="K282" t="inlineStr">
        <is>
          <t>보건업</t>
        </is>
      </c>
      <c r="L282" t="inlineStr">
        <is>
          <t>1</t>
        </is>
      </c>
      <c r="M282" s="3" t="n">
        <v>0.9350000000000001</v>
      </c>
      <c r="N282" t="inlineStr">
        <is>
          <t>긍정</t>
        </is>
      </c>
    </row>
    <row r="283">
      <c r="A283" s="1" t="inlineStr">
        <is>
          <t>2021-05-10</t>
        </is>
      </c>
      <c r="B283" t="inlineStr">
        <is>
          <t>news</t>
        </is>
      </c>
      <c r="C283" t="inlineStr">
        <is>
          <t>economy</t>
        </is>
      </c>
      <c r="D283" t="inlineStr">
        <is>
          <t>SBS Biz</t>
        </is>
      </c>
      <c r="E283" t="inlineStr"/>
      <c r="F283" t="inlineStr">
        <is>
          <t>[조간브리핑] 수십 조 대어 청약 줄줄이 대기…SKIET 넘어설까</t>
        </is>
      </c>
      <c r="G283" s="2">
        <f>HYPERLINK("https://biz.sbs.co.kr/article_hub/20000014753", "Go to Website")</f>
        <v/>
      </c>
      <c r="H283" t="inlineStr"/>
      <c r="I283" t="inlineStr">
        <is>
          <t>N76</t>
        </is>
      </c>
      <c r="J283" s="3" t="n">
        <v>0.449</v>
      </c>
      <c r="K283" t="inlineStr">
        <is>
          <t>임대업; 부동산 제외</t>
        </is>
      </c>
      <c r="L283" t="inlineStr"/>
      <c r="M283" t="inlineStr"/>
      <c r="N283" t="inlineStr"/>
    </row>
    <row r="284">
      <c r="A284" s="1" t="inlineStr">
        <is>
          <t>2021-05-10</t>
        </is>
      </c>
      <c r="B284" t="inlineStr">
        <is>
          <t>news</t>
        </is>
      </c>
      <c r="C284" t="inlineStr">
        <is>
          <t>economy</t>
        </is>
      </c>
      <c r="D284" t="inlineStr">
        <is>
          <t>이데일리</t>
        </is>
      </c>
      <c r="E284" t="inlineStr">
        <is>
          <t>김재은</t>
        </is>
      </c>
      <c r="F284" t="inlineStr">
        <is>
          <t>두산중공업, 고비는 넘겼다…발전기자재 대장주 -대신</t>
        </is>
      </c>
      <c r="G284" s="2">
        <f>HYPERLINK("http://www.edaily.co.kr/news/newspath.asp?newsid=01357926629047608", "Go to Website")</f>
        <v/>
      </c>
      <c r="H284" t="inlineStr"/>
      <c r="I284" t="inlineStr">
        <is>
          <t>C29</t>
        </is>
      </c>
      <c r="J284" s="3" t="n">
        <v>0.997</v>
      </c>
      <c r="K284" t="inlineStr">
        <is>
          <t>기타 기계 및 장비 제조업</t>
        </is>
      </c>
      <c r="L284" t="inlineStr">
        <is>
          <t>1</t>
        </is>
      </c>
      <c r="M284" s="3" t="n">
        <v>0.948</v>
      </c>
      <c r="N284" t="inlineStr">
        <is>
          <t>긍정</t>
        </is>
      </c>
    </row>
    <row r="285">
      <c r="A285" s="1" t="inlineStr">
        <is>
          <t>2021-05-10</t>
        </is>
      </c>
      <c r="B285" t="inlineStr">
        <is>
          <t>news</t>
        </is>
      </c>
      <c r="C285" t="inlineStr">
        <is>
          <t>economy</t>
        </is>
      </c>
      <c r="D285" t="inlineStr">
        <is>
          <t>KBS</t>
        </is>
      </c>
      <c r="E285" t="inlineStr"/>
      <c r="F285" t="inlineStr">
        <is>
          <t>현대·기아, 친환경차 누적 판매 200만 대 돌파</t>
        </is>
      </c>
      <c r="G285" s="2">
        <f>HYPERLINK("https://news.kbs.co.kr/news/view.do?ncd=5181716&amp;ref=A", "Go to Website")</f>
        <v/>
      </c>
      <c r="H285" t="inlineStr"/>
      <c r="I285" t="inlineStr">
        <is>
          <t>C30</t>
        </is>
      </c>
      <c r="J285" s="3" t="n">
        <v>1</v>
      </c>
      <c r="K285" t="inlineStr">
        <is>
          <t>자동차 및 트레일러 제조업</t>
        </is>
      </c>
      <c r="L285" t="inlineStr"/>
      <c r="M285" t="inlineStr"/>
      <c r="N285" t="inlineStr"/>
    </row>
    <row r="286">
      <c r="A286" s="1" t="inlineStr">
        <is>
          <t>2021-05-10</t>
        </is>
      </c>
      <c r="B286" t="inlineStr">
        <is>
          <t>news</t>
        </is>
      </c>
      <c r="C286" t="inlineStr">
        <is>
          <t>economy</t>
        </is>
      </c>
      <c r="D286" t="inlineStr">
        <is>
          <t>아시아경제</t>
        </is>
      </c>
      <c r="E286" t="inlineStr">
        <is>
          <t>이민우</t>
        </is>
      </c>
      <c r="F286" t="inlineStr">
        <is>
          <t>[클릭 e종목] "고비 넘긴 두산중공업, 가능성은 보여줬다"</t>
        </is>
      </c>
      <c r="G286" s="2">
        <f>HYPERLINK("https://view.asiae.co.kr/article/2021051008095521075", "Go to Website")</f>
        <v/>
      </c>
      <c r="H286" t="inlineStr"/>
      <c r="I286" t="inlineStr">
        <is>
          <t>C29</t>
        </is>
      </c>
      <c r="J286" s="3" t="n">
        <v>1</v>
      </c>
      <c r="K286" t="inlineStr">
        <is>
          <t>기타 기계 및 장비 제조업</t>
        </is>
      </c>
      <c r="L286" t="inlineStr">
        <is>
          <t>1</t>
        </is>
      </c>
      <c r="M286" s="3" t="n">
        <v>0.97</v>
      </c>
      <c r="N286" t="inlineStr">
        <is>
          <t>긍정</t>
        </is>
      </c>
    </row>
    <row r="287">
      <c r="A287" s="1" t="inlineStr">
        <is>
          <t>2021-05-09</t>
        </is>
      </c>
      <c r="B287" t="inlineStr">
        <is>
          <t>news</t>
        </is>
      </c>
      <c r="C287" t="inlineStr">
        <is>
          <t>economy</t>
        </is>
      </c>
      <c r="D287" t="inlineStr">
        <is>
          <t>문화일보</t>
        </is>
      </c>
      <c r="E287" t="inlineStr">
        <is>
          <t>박영수</t>
        </is>
      </c>
      <c r="F287" t="inlineStr">
        <is>
          <t>농협 경남본부-무학 ‘탄소중립 사회 실현’ 아름다운 동행 협약</t>
        </is>
      </c>
      <c r="G287" s="2">
        <f>HYPERLINK("http://www.munhwa.com/news/view.html?no=20210509MW194442410364", "Go to Website")</f>
        <v/>
      </c>
      <c r="H287" t="inlineStr"/>
      <c r="I287" t="inlineStr">
        <is>
          <t>C11</t>
        </is>
      </c>
      <c r="J287" s="3" t="n">
        <v>0.887</v>
      </c>
      <c r="K287" t="inlineStr">
        <is>
          <t>음료 제조업</t>
        </is>
      </c>
      <c r="L287" t="inlineStr">
        <is>
          <t>0</t>
        </is>
      </c>
      <c r="M287" s="3" t="n">
        <v>0.838</v>
      </c>
      <c r="N287" t="inlineStr">
        <is>
          <t>중립</t>
        </is>
      </c>
    </row>
    <row r="288">
      <c r="A288" s="1" t="inlineStr">
        <is>
          <t>2021-05-09</t>
        </is>
      </c>
      <c r="B288" t="inlineStr">
        <is>
          <t>news</t>
        </is>
      </c>
      <c r="C288" t="inlineStr">
        <is>
          <t>tech</t>
        </is>
      </c>
      <c r="D288" t="inlineStr">
        <is>
          <t>한국경제</t>
        </is>
      </c>
      <c r="E288" t="inlineStr">
        <is>
          <t>이해성</t>
        </is>
      </c>
      <c r="F288" t="inlineStr">
        <is>
          <t>탄소제로 '끝판왕' 수소전지…발전효율, 2차전지의 100배</t>
        </is>
      </c>
      <c r="G288" s="2">
        <f>HYPERLINK("https://www.hankyung.com/it/article/2021050929211", "Go to Website")</f>
        <v/>
      </c>
      <c r="H288" t="inlineStr"/>
      <c r="I288" t="inlineStr"/>
      <c r="J288" t="inlineStr"/>
      <c r="K288" t="inlineStr"/>
      <c r="L288" t="inlineStr"/>
      <c r="M288" t="inlineStr"/>
      <c r="N288" t="inlineStr"/>
    </row>
    <row r="289">
      <c r="A289" s="1" t="inlineStr">
        <is>
          <t>2021-05-09</t>
        </is>
      </c>
      <c r="B289" t="inlineStr">
        <is>
          <t>news</t>
        </is>
      </c>
      <c r="C289" t="inlineStr">
        <is>
          <t>tech</t>
        </is>
      </c>
      <c r="D289" t="inlineStr">
        <is>
          <t>한국경제</t>
        </is>
      </c>
      <c r="E289" t="inlineStr">
        <is>
          <t>이해성</t>
        </is>
      </c>
      <c r="F289" t="inlineStr">
        <is>
          <t>정부 "2030년까지 충전소 1000곳 설치"</t>
        </is>
      </c>
      <c r="G289" s="2">
        <f>HYPERLINK("https://www.hankyung.com/it/article/2021050929201", "Go to Website")</f>
        <v/>
      </c>
      <c r="H289" t="inlineStr"/>
      <c r="I289" t="inlineStr"/>
      <c r="J289" t="inlineStr"/>
      <c r="K289" t="inlineStr"/>
      <c r="L289" t="inlineStr"/>
      <c r="M289" t="inlineStr"/>
      <c r="N289" t="inlineStr"/>
    </row>
    <row r="290">
      <c r="A290" s="1" t="inlineStr">
        <is>
          <t>2021-05-09</t>
        </is>
      </c>
      <c r="B290" t="inlineStr">
        <is>
          <t>news</t>
        </is>
      </c>
      <c r="C290" t="inlineStr">
        <is>
          <t>economy</t>
        </is>
      </c>
      <c r="D290" t="inlineStr">
        <is>
          <t>한국경제</t>
        </is>
      </c>
      <c r="E290" t="inlineStr">
        <is>
          <t>전예진</t>
        </is>
      </c>
      <c r="F290" t="inlineStr">
        <is>
          <t>수십兆 월척이오 !…SKIET보다 더 '큰 놈'들이 몰려온다</t>
        </is>
      </c>
      <c r="G290" s="2">
        <f>HYPERLINK("https://www.hankyung.com/finance/article/2021050927031", "Go to Website")</f>
        <v/>
      </c>
      <c r="H290" t="inlineStr"/>
      <c r="I290" t="inlineStr">
        <is>
          <t>A03</t>
        </is>
      </c>
      <c r="J290" s="3" t="n">
        <v>0.892</v>
      </c>
      <c r="K290" t="inlineStr">
        <is>
          <t>어업</t>
        </is>
      </c>
      <c r="L290" t="inlineStr"/>
      <c r="M290" t="inlineStr"/>
      <c r="N290" t="inlineStr"/>
    </row>
    <row r="291">
      <c r="A291" s="1" t="inlineStr">
        <is>
          <t>2021-05-09</t>
        </is>
      </c>
      <c r="B291" t="inlineStr">
        <is>
          <t>news</t>
        </is>
      </c>
      <c r="C291" t="inlineStr">
        <is>
          <t>economy</t>
        </is>
      </c>
      <c r="D291" t="inlineStr">
        <is>
          <t>뉴시스</t>
        </is>
      </c>
      <c r="E291" t="inlineStr">
        <is>
          <t>정윤아</t>
        </is>
      </c>
      <c r="F291" t="inlineStr">
        <is>
          <t>KOTRA, 10일부터 3주간 '글로벌 파트너링 유럽 2021' 개최</t>
        </is>
      </c>
      <c r="G291" s="2">
        <f>HYPERLINK("http://www.newsis.com/view/?id=NISX20210509_0001434413&amp;cID=13001&amp;pID=13000", "Go to Website")</f>
        <v/>
      </c>
      <c r="H291" t="inlineStr"/>
      <c r="I291" t="inlineStr">
        <is>
          <t>100</t>
        </is>
      </c>
      <c r="J291" s="3" t="n">
        <v>0.673</v>
      </c>
      <c r="K291" t="inlineStr">
        <is>
          <t>분류 제외, 기타</t>
        </is>
      </c>
      <c r="L291" t="inlineStr"/>
      <c r="M291" t="inlineStr"/>
      <c r="N291" t="inlineStr"/>
    </row>
    <row r="292">
      <c r="A292" s="1" t="inlineStr">
        <is>
          <t>2021-05-09</t>
        </is>
      </c>
      <c r="B292" t="inlineStr">
        <is>
          <t>news</t>
        </is>
      </c>
      <c r="C292" t="inlineStr">
        <is>
          <t>economy</t>
        </is>
      </c>
      <c r="D292" t="inlineStr">
        <is>
          <t>한국경제TV</t>
        </is>
      </c>
      <c r="E292" t="inlineStr">
        <is>
          <t>신재근</t>
        </is>
      </c>
      <c r="F292" t="inlineStr">
        <is>
          <t>KOTRA, 韓기업 유럽 자동차 시장 진출 지원…GP 유럽 행사 개최</t>
        </is>
      </c>
      <c r="G292" s="2">
        <f>HYPERLINK("http://www.wowtv.co.kr/NewsCenter/News/Read?articleId=A202105090029&amp;t=NN", "Go to Website")</f>
        <v/>
      </c>
      <c r="H292" t="inlineStr"/>
      <c r="I292" t="inlineStr">
        <is>
          <t>100</t>
        </is>
      </c>
      <c r="J292" s="3" t="n">
        <v>0.61</v>
      </c>
      <c r="K292" t="inlineStr">
        <is>
          <t>분류 제외, 기타</t>
        </is>
      </c>
      <c r="L292" t="inlineStr"/>
      <c r="M292" t="inlineStr"/>
      <c r="N292" t="inlineStr"/>
    </row>
    <row r="293">
      <c r="A293" s="1" t="inlineStr">
        <is>
          <t>2021-05-09</t>
        </is>
      </c>
      <c r="B293" t="inlineStr">
        <is>
          <t>news</t>
        </is>
      </c>
      <c r="C293" t="inlineStr">
        <is>
          <t>economy</t>
        </is>
      </c>
      <c r="D293" t="inlineStr">
        <is>
          <t>전자신문</t>
        </is>
      </c>
      <c r="E293" t="inlineStr">
        <is>
          <t>윤희석</t>
        </is>
      </c>
      <c r="F293" t="inlineStr">
        <is>
          <t>KOTRA, '글로벌 파트너링 유럽 2021' 개최…韓 기업 현지 진출 추진</t>
        </is>
      </c>
      <c r="G293" s="2">
        <f>HYPERLINK("http://www.etnews.com/20210509000014", "Go to Website")</f>
        <v/>
      </c>
      <c r="H293" t="inlineStr"/>
      <c r="I293" t="inlineStr">
        <is>
          <t>100</t>
        </is>
      </c>
      <c r="J293" s="3" t="n">
        <v>0.9399999999999999</v>
      </c>
      <c r="K293" t="inlineStr">
        <is>
          <t>분류 제외, 기타</t>
        </is>
      </c>
      <c r="L293" t="inlineStr"/>
      <c r="M293" t="inlineStr"/>
      <c r="N293" t="inlineStr"/>
    </row>
    <row r="294">
      <c r="A294" s="1" t="inlineStr">
        <is>
          <t>2021-05-09</t>
        </is>
      </c>
      <c r="B294" t="inlineStr">
        <is>
          <t>news</t>
        </is>
      </c>
      <c r="C294" t="inlineStr">
        <is>
          <t>economy</t>
        </is>
      </c>
      <c r="D294" t="inlineStr">
        <is>
          <t>머니투데이</t>
        </is>
      </c>
      <c r="E294" t="inlineStr">
        <is>
          <t>고석용</t>
        </is>
      </c>
      <c r="F294" t="inlineStr">
        <is>
          <t>정부부처 주간일정 및 보도계획(10~14일)</t>
        </is>
      </c>
      <c r="G294" s="2">
        <f>HYPERLINK("http://news.mt.co.kr/mtview.php?no=2021050911241223150", "Go to Website")</f>
        <v/>
      </c>
      <c r="H294" t="inlineStr"/>
      <c r="I294" t="inlineStr">
        <is>
          <t>100</t>
        </is>
      </c>
      <c r="J294" s="3" t="n">
        <v>0.995</v>
      </c>
      <c r="K294" t="inlineStr">
        <is>
          <t>분류 제외, 기타</t>
        </is>
      </c>
      <c r="L294" t="inlineStr"/>
      <c r="M294" t="inlineStr"/>
      <c r="N294" t="inlineStr"/>
    </row>
    <row r="295">
      <c r="A295" s="1" t="inlineStr">
        <is>
          <t>2021-05-09</t>
        </is>
      </c>
      <c r="B295" t="inlineStr">
        <is>
          <t>news</t>
        </is>
      </c>
      <c r="C295" t="inlineStr">
        <is>
          <t>economy</t>
        </is>
      </c>
      <c r="D295" t="inlineStr">
        <is>
          <t>이데일리</t>
        </is>
      </c>
      <c r="E295" t="inlineStr">
        <is>
          <t>경계영</t>
        </is>
      </c>
      <c r="F295" t="inlineStr">
        <is>
          <t>코트라, 유럽 미래차 시장 진출 지원 '글로벌 파트너링 유럽'</t>
        </is>
      </c>
      <c r="G295" s="2">
        <f>HYPERLINK("http://www.edaily.co.kr/news/newspath.asp?newsid=01390726629047280", "Go to Website")</f>
        <v/>
      </c>
      <c r="H295" t="inlineStr"/>
      <c r="I295" t="inlineStr">
        <is>
          <t>F41</t>
        </is>
      </c>
      <c r="J295" s="3" t="n">
        <v>0.8100000000000001</v>
      </c>
      <c r="K295" t="inlineStr">
        <is>
          <t>종합 건설업</t>
        </is>
      </c>
      <c r="L295" t="inlineStr">
        <is>
          <t>1</t>
        </is>
      </c>
      <c r="M295" s="3" t="n">
        <v>0.9399999999999999</v>
      </c>
      <c r="N295" t="inlineStr">
        <is>
          <t>긍정</t>
        </is>
      </c>
    </row>
    <row r="296">
      <c r="A296" s="1" t="inlineStr">
        <is>
          <t>2021-05-09</t>
        </is>
      </c>
      <c r="B296" t="inlineStr">
        <is>
          <t>news</t>
        </is>
      </c>
      <c r="C296" t="inlineStr">
        <is>
          <t>economy</t>
        </is>
      </c>
      <c r="D296" t="inlineStr">
        <is>
          <t>연합뉴스</t>
        </is>
      </c>
      <c r="E296" t="inlineStr">
        <is>
          <t>조재영</t>
        </is>
      </c>
      <c r="F296" t="inlineStr">
        <is>
          <t>"유럽 미래차 시장 공략"…코트라 '글로벌 파트너링' 행사</t>
        </is>
      </c>
      <c r="G296" s="2">
        <f>HYPERLINK("http://yna.kr/AKR20210509010200003?did=1195m", "Go to Website")</f>
        <v/>
      </c>
      <c r="H296" t="inlineStr"/>
      <c r="I296" t="inlineStr">
        <is>
          <t>100</t>
        </is>
      </c>
      <c r="J296" s="3" t="n">
        <v>0.8129999999999999</v>
      </c>
      <c r="K296" t="inlineStr">
        <is>
          <t>분류 제외, 기타</t>
        </is>
      </c>
      <c r="L296" t="inlineStr"/>
      <c r="M296" t="inlineStr"/>
      <c r="N296" t="inlineStr"/>
    </row>
    <row r="297">
      <c r="A297" s="1" t="inlineStr">
        <is>
          <t>2021-05-09</t>
        </is>
      </c>
      <c r="B297" t="inlineStr">
        <is>
          <t>news</t>
        </is>
      </c>
      <c r="C297" t="inlineStr">
        <is>
          <t>tech</t>
        </is>
      </c>
      <c r="D297" t="inlineStr">
        <is>
          <t>아시아경제</t>
        </is>
      </c>
      <c r="E297" t="inlineStr">
        <is>
          <t>김봉수</t>
        </is>
      </c>
      <c r="F297" t="inlineStr">
        <is>
          <t>[과학을 읽다]개미산으로 연료전지차를?…수소 기술 어디까지 왔나</t>
        </is>
      </c>
      <c r="G297" s="2">
        <f>HYPERLINK("https://view.asiae.co.kr/article/2021050908500752593", "Go to Website")</f>
        <v/>
      </c>
      <c r="H297" t="inlineStr"/>
      <c r="I297" t="inlineStr"/>
      <c r="J297" t="inlineStr"/>
      <c r="K297" t="inlineStr"/>
      <c r="L297" t="inlineStr"/>
      <c r="M297" t="inlineStr"/>
      <c r="N297" t="inlineStr"/>
    </row>
    <row r="298">
      <c r="A298" s="1" t="inlineStr">
        <is>
          <t>2021-05-08</t>
        </is>
      </c>
      <c r="B298" t="inlineStr">
        <is>
          <t>news</t>
        </is>
      </c>
      <c r="C298" t="inlineStr">
        <is>
          <t>economy</t>
        </is>
      </c>
      <c r="D298" t="inlineStr">
        <is>
          <t>머니S</t>
        </is>
      </c>
      <c r="E298" t="inlineStr">
        <is>
          <t>김화평</t>
        </is>
      </c>
      <c r="F298" t="inlineStr">
        <is>
          <t>어버이날 행사·할인 풍성… "쇼핑몰에서 효도하세요"</t>
        </is>
      </c>
      <c r="G298" s="2">
        <f>HYPERLINK("http://moneys.mt.co.kr/news/mwView.php?no=2021050808328069143", "Go to Website")</f>
        <v/>
      </c>
      <c r="H298" t="inlineStr"/>
      <c r="I298" t="inlineStr">
        <is>
          <t>C33</t>
        </is>
      </c>
      <c r="J298" s="3" t="n">
        <v>0.991</v>
      </c>
      <c r="K298" t="inlineStr">
        <is>
          <t>기타 제품 제조업</t>
        </is>
      </c>
      <c r="L298" t="inlineStr"/>
      <c r="M298" t="inlineStr"/>
      <c r="N298" t="inlineStr"/>
    </row>
    <row r="299">
      <c r="A299" s="1" t="inlineStr">
        <is>
          <t>2021-05-08</t>
        </is>
      </c>
      <c r="B299" t="inlineStr">
        <is>
          <t>news</t>
        </is>
      </c>
      <c r="C299" t="inlineStr">
        <is>
          <t>economy</t>
        </is>
      </c>
      <c r="D299" t="inlineStr">
        <is>
          <t>뉴스1</t>
        </is>
      </c>
      <c r="E299" t="inlineStr">
        <is>
          <t>강성규</t>
        </is>
      </c>
      <c r="F299" t="inlineStr">
        <is>
          <t>[주말쇼핑포인트]"어버이날 행사 풍성…쇼핑몰로 孝나들이 떠나요"</t>
        </is>
      </c>
      <c r="G299" s="2">
        <f>HYPERLINK("https://www.news1.kr/articles/?4299629", "Go to Website")</f>
        <v/>
      </c>
      <c r="H299" t="inlineStr"/>
      <c r="I299" t="inlineStr">
        <is>
          <t>C15</t>
        </is>
      </c>
      <c r="J299" s="3" t="n">
        <v>0.514</v>
      </c>
      <c r="K299" t="inlineStr">
        <is>
          <t>가죽, 가방 및 신발 제조업</t>
        </is>
      </c>
      <c r="L299" t="inlineStr"/>
      <c r="M299" t="inlineStr"/>
      <c r="N299" t="inlineStr"/>
    </row>
    <row r="300">
      <c r="A300" s="1" t="inlineStr">
        <is>
          <t>2021-05-07</t>
        </is>
      </c>
      <c r="B300" t="inlineStr">
        <is>
          <t>news</t>
        </is>
      </c>
      <c r="C300" t="inlineStr">
        <is>
          <t>economy</t>
        </is>
      </c>
      <c r="D300" t="inlineStr">
        <is>
          <t>한국경제</t>
        </is>
      </c>
      <c r="E300" t="inlineStr">
        <is>
          <t>박재원</t>
        </is>
      </c>
      <c r="F300" t="inlineStr">
        <is>
          <t>액티브 ETF 8종, 한날한시 '진검승부'</t>
        </is>
      </c>
      <c r="G300" s="2">
        <f>HYPERLINK("https://www.hankyung.com/finance/article/2021050796061", "Go to Website")</f>
        <v/>
      </c>
      <c r="H300" t="inlineStr"/>
      <c r="I300" t="inlineStr">
        <is>
          <t>K64</t>
        </is>
      </c>
      <c r="J300" s="3" t="n">
        <v>1</v>
      </c>
      <c r="K300" t="inlineStr">
        <is>
          <t>금융업</t>
        </is>
      </c>
      <c r="L300" t="inlineStr"/>
      <c r="M300" t="inlineStr"/>
      <c r="N300" t="inlineStr"/>
    </row>
    <row r="301">
      <c r="A301" s="1" t="inlineStr">
        <is>
          <t>2021-05-07</t>
        </is>
      </c>
      <c r="B301" t="inlineStr">
        <is>
          <t>news</t>
        </is>
      </c>
      <c r="C301" t="inlineStr">
        <is>
          <t>economy</t>
        </is>
      </c>
      <c r="D301" t="inlineStr">
        <is>
          <t>오마이뉴스</t>
        </is>
      </c>
      <c r="E301" t="inlineStr">
        <is>
          <t>신상호</t>
        </is>
      </c>
      <c r="F301" t="inlineStr">
        <is>
          <t>"경제규모 세계 10위로... 코로나 이전 경제수준 회복"</t>
        </is>
      </c>
      <c r="G301" s="2">
        <f>HYPERLINK("http://www.ohmynews.com/NWS_Web/View/at_pg.aspx?CNTN_CD=A0002741830&amp;CMPT_CD=P0010&amp;utm_medium=newsearch", "Go to Website")</f>
        <v/>
      </c>
      <c r="H301" t="inlineStr"/>
      <c r="I301" t="inlineStr">
        <is>
          <t>100</t>
        </is>
      </c>
      <c r="J301" s="3" t="n">
        <v>0.847</v>
      </c>
      <c r="K301" t="inlineStr">
        <is>
          <t>분류 제외, 기타</t>
        </is>
      </c>
      <c r="L301" t="inlineStr"/>
      <c r="M301" t="inlineStr"/>
      <c r="N301" t="inlineStr"/>
    </row>
    <row r="302">
      <c r="A302" s="1" t="inlineStr">
        <is>
          <t>2021-05-07</t>
        </is>
      </c>
      <c r="B302" t="inlineStr">
        <is>
          <t>news</t>
        </is>
      </c>
      <c r="C302" t="inlineStr">
        <is>
          <t>economy</t>
        </is>
      </c>
      <c r="D302" t="inlineStr">
        <is>
          <t>뉴시스</t>
        </is>
      </c>
      <c r="E302" t="inlineStr">
        <is>
          <t>오종택</t>
        </is>
      </c>
      <c r="F302" t="inlineStr">
        <is>
          <t>文정부 4년, 코로나 극복·미래 먹거리 창출…글로벌 '톱10' 자리매김</t>
        </is>
      </c>
      <c r="G302" s="2">
        <f>HYPERLINK("http://www.newsis.com/view/?id=NISX20210507_0001433523&amp;cID=10401&amp;pID=10400", "Go to Website")</f>
        <v/>
      </c>
      <c r="H302" t="inlineStr"/>
      <c r="I302" t="inlineStr">
        <is>
          <t>Q86</t>
        </is>
      </c>
      <c r="J302" s="3" t="n">
        <v>0.968</v>
      </c>
      <c r="K302" t="inlineStr">
        <is>
          <t>보건업</t>
        </is>
      </c>
      <c r="L302" t="inlineStr"/>
      <c r="M302" t="inlineStr"/>
      <c r="N302" t="inlineStr"/>
    </row>
    <row r="303">
      <c r="A303" s="1" t="inlineStr">
        <is>
          <t>2021-05-07</t>
        </is>
      </c>
      <c r="B303" t="inlineStr">
        <is>
          <t>news</t>
        </is>
      </c>
      <c r="C303" t="inlineStr">
        <is>
          <t>economy</t>
        </is>
      </c>
      <c r="D303" t="inlineStr">
        <is>
          <t>이데일리</t>
        </is>
      </c>
      <c r="E303" t="inlineStr">
        <is>
          <t>이명철</t>
        </is>
      </c>
      <c r="F303" t="inlineStr">
        <is>
          <t>4주년 맞은 文정부 “코로나 위기 대응 성과…선도형 경제 전환”</t>
        </is>
      </c>
      <c r="G303" s="2">
        <f>HYPERLINK("http://www.edaily.co.kr/news/newspath.asp?newsid=02637126629046624", "Go to Website")</f>
        <v/>
      </c>
      <c r="H303" t="inlineStr"/>
      <c r="I303" t="inlineStr">
        <is>
          <t>Q86</t>
        </is>
      </c>
      <c r="J303" s="3" t="n">
        <v>0.729</v>
      </c>
      <c r="K303" t="inlineStr">
        <is>
          <t>보건업</t>
        </is>
      </c>
      <c r="L303" t="inlineStr"/>
      <c r="M303" t="inlineStr"/>
      <c r="N303" t="inlineStr"/>
    </row>
    <row r="304">
      <c r="A304" s="1" t="inlineStr">
        <is>
          <t>2021-05-07</t>
        </is>
      </c>
      <c r="B304" t="inlineStr">
        <is>
          <t>news</t>
        </is>
      </c>
      <c r="C304" t="inlineStr">
        <is>
          <t>economy</t>
        </is>
      </c>
      <c r="D304" t="inlineStr">
        <is>
          <t>헤럴드경제</t>
        </is>
      </c>
      <c r="E304" t="inlineStr">
        <is>
          <t>김현일</t>
        </is>
      </c>
      <c r="F304" t="inlineStr">
        <is>
          <t>휴게소로 물류센터로…주유소는 변신중 [헤럴드 뷰-전기차 충전소 그림의 떡]</t>
        </is>
      </c>
      <c r="G304" s="2">
        <f>HYPERLINK("http://news.heraldcorp.com/view.php?ud=20210507000379", "Go to Website")</f>
        <v/>
      </c>
      <c r="H304" t="inlineStr"/>
      <c r="I304" t="inlineStr">
        <is>
          <t>100</t>
        </is>
      </c>
      <c r="J304" s="3" t="n">
        <v>0.825</v>
      </c>
      <c r="K304" t="inlineStr">
        <is>
          <t>분류 제외, 기타</t>
        </is>
      </c>
      <c r="L304" t="inlineStr">
        <is>
          <t>0</t>
        </is>
      </c>
      <c r="M304" s="3" t="n">
        <v>0.976</v>
      </c>
      <c r="N304" t="inlineStr">
        <is>
          <t>중립</t>
        </is>
      </c>
    </row>
    <row r="305">
      <c r="A305" s="1" t="inlineStr">
        <is>
          <t>2021-05-07</t>
        </is>
      </c>
      <c r="B305" t="inlineStr">
        <is>
          <t>news</t>
        </is>
      </c>
      <c r="C305" t="inlineStr">
        <is>
          <t>economy</t>
        </is>
      </c>
      <c r="D305" t="inlineStr">
        <is>
          <t>헤럴드경제</t>
        </is>
      </c>
      <c r="E305" t="inlineStr">
        <is>
          <t>정찬수</t>
        </is>
      </c>
      <c r="F305" t="inlineStr">
        <is>
          <t>‘궁극의 친환경’ 수소차? 충전할 곳 찾아 삼만리 [헤럴드 뷰-전기차 충전소 그림의 떡]</t>
        </is>
      </c>
      <c r="G305" s="2">
        <f>HYPERLINK("http://news.heraldcorp.com/view.php?ud=20210507000378", "Go to Website")</f>
        <v/>
      </c>
      <c r="H305" t="inlineStr"/>
      <c r="I305" t="inlineStr">
        <is>
          <t>C33</t>
        </is>
      </c>
      <c r="J305" s="3" t="n">
        <v>0.537</v>
      </c>
      <c r="K305" t="inlineStr">
        <is>
          <t>기타 제품 제조업</t>
        </is>
      </c>
      <c r="L305" t="inlineStr">
        <is>
          <t>0</t>
        </is>
      </c>
      <c r="M305" s="3" t="n">
        <v>0.804</v>
      </c>
      <c r="N305" t="inlineStr">
        <is>
          <t>중립</t>
        </is>
      </c>
    </row>
    <row r="306">
      <c r="A306" s="1" t="inlineStr">
        <is>
          <t>2021-05-07</t>
        </is>
      </c>
      <c r="B306" t="inlineStr">
        <is>
          <t>news</t>
        </is>
      </c>
      <c r="C306" t="inlineStr">
        <is>
          <t>economy</t>
        </is>
      </c>
      <c r="D306" t="inlineStr">
        <is>
          <t>뉴스1</t>
        </is>
      </c>
      <c r="E306" t="inlineStr">
        <is>
          <t>신건웅</t>
        </is>
      </c>
      <c r="F306" t="inlineStr">
        <is>
          <t>[NFF2021]빨라진 '수소경제' 시계…"미세먼지 없는 하늘 만든다"</t>
        </is>
      </c>
      <c r="G306" s="2">
        <f>HYPERLINK("https://www.news1.kr/articles/?4296508", "Go to Website")</f>
        <v/>
      </c>
      <c r="H306" t="inlineStr"/>
      <c r="I306" t="inlineStr">
        <is>
          <t>C26</t>
        </is>
      </c>
      <c r="J306" s="3" t="n">
        <v>0.418</v>
      </c>
      <c r="K306" t="inlineStr">
        <is>
          <t>전자 부품, 컴퓨터, 영상, 음향 및 통신장비 제조업</t>
        </is>
      </c>
      <c r="L306" t="inlineStr"/>
      <c r="M306" t="inlineStr"/>
      <c r="N306" t="inlineStr"/>
    </row>
    <row r="307">
      <c r="A307" s="1" t="inlineStr">
        <is>
          <t>2021-05-06</t>
        </is>
      </c>
      <c r="B307" t="inlineStr">
        <is>
          <t>news</t>
        </is>
      </c>
      <c r="C307" t="inlineStr">
        <is>
          <t>economy</t>
        </is>
      </c>
      <c r="D307" t="inlineStr">
        <is>
          <t>뉴시스</t>
        </is>
      </c>
      <c r="E307" t="inlineStr">
        <is>
          <t>김성진</t>
        </is>
      </c>
      <c r="F307" t="inlineStr">
        <is>
          <t>文, 유럽대사들과 부유식 해상풍력 현장 방문…"바다 위 유전"(종합)</t>
        </is>
      </c>
      <c r="G307" s="2">
        <f>HYPERLINK("http://www.newsis.com/view/?id=NISX20210506_0001432439&amp;cID=10301&amp;pID=10300", "Go to Website")</f>
        <v/>
      </c>
      <c r="H307" t="inlineStr"/>
      <c r="I307" t="inlineStr">
        <is>
          <t>C31</t>
        </is>
      </c>
      <c r="J307" s="3" t="n">
        <v>0.448</v>
      </c>
      <c r="K307" t="inlineStr">
        <is>
          <t>기타 운송장비 제조업</t>
        </is>
      </c>
      <c r="L307" t="inlineStr">
        <is>
          <t>0</t>
        </is>
      </c>
      <c r="M307" s="3" t="n">
        <v>0.998</v>
      </c>
      <c r="N307" t="inlineStr">
        <is>
          <t>중립</t>
        </is>
      </c>
    </row>
    <row r="308">
      <c r="A308" s="1" t="inlineStr">
        <is>
          <t>2021-05-06</t>
        </is>
      </c>
      <c r="B308" t="inlineStr">
        <is>
          <t>news</t>
        </is>
      </c>
      <c r="C308" t="inlineStr">
        <is>
          <t>economy</t>
        </is>
      </c>
      <c r="D308" t="inlineStr">
        <is>
          <t>데일리안</t>
        </is>
      </c>
      <c r="E308" t="inlineStr">
        <is>
          <t>김민희</t>
        </is>
      </c>
      <c r="F308" t="inlineStr">
        <is>
          <t>현대중, 동해 그린수소 생산플랜트 개발…수소밸류체인 속도</t>
        </is>
      </c>
      <c r="G308" s="2">
        <f>HYPERLINK("https://www.dailian.co.kr/news/view/988924/", "Go to Website")</f>
        <v/>
      </c>
      <c r="H308" t="inlineStr"/>
      <c r="I308" t="inlineStr">
        <is>
          <t>C31</t>
        </is>
      </c>
      <c r="J308" s="3" t="n">
        <v>0.666</v>
      </c>
      <c r="K308" t="inlineStr">
        <is>
          <t>기타 운송장비 제조업</t>
        </is>
      </c>
      <c r="L308" t="inlineStr">
        <is>
          <t>1</t>
        </is>
      </c>
      <c r="M308" s="3" t="n">
        <v>0.958</v>
      </c>
      <c r="N308" t="inlineStr">
        <is>
          <t>긍정</t>
        </is>
      </c>
    </row>
    <row r="309">
      <c r="A309" s="1" t="inlineStr">
        <is>
          <t>2021-05-06</t>
        </is>
      </c>
      <c r="B309" t="inlineStr">
        <is>
          <t>news</t>
        </is>
      </c>
      <c r="C309" t="inlineStr">
        <is>
          <t>tech</t>
        </is>
      </c>
      <c r="D309" t="inlineStr">
        <is>
          <t>ZDNet Korea</t>
        </is>
      </c>
      <c r="E309" t="inlineStr">
        <is>
          <t>이한얼</t>
        </is>
      </c>
      <c r="F309" t="inlineStr">
        <is>
          <t>현대重, 동해에 그린수소 생산플랜트 구축</t>
        </is>
      </c>
      <c r="G309" s="2">
        <f>HYPERLINK("https://zdnet.co.kr/view/?no=20210506161137", "Go to Website")</f>
        <v/>
      </c>
      <c r="H309" t="inlineStr"/>
      <c r="I309" t="inlineStr"/>
      <c r="J309" t="inlineStr"/>
      <c r="K309" t="inlineStr"/>
      <c r="L309" t="inlineStr"/>
      <c r="M309" t="inlineStr"/>
      <c r="N309" t="inlineStr"/>
    </row>
    <row r="310">
      <c r="A310" s="1" t="inlineStr">
        <is>
          <t>2021-05-06</t>
        </is>
      </c>
      <c r="B310" t="inlineStr">
        <is>
          <t>news</t>
        </is>
      </c>
      <c r="C310" t="inlineStr">
        <is>
          <t>economy</t>
        </is>
      </c>
      <c r="D310" t="inlineStr">
        <is>
          <t>서울경제</t>
        </is>
      </c>
      <c r="E310" t="inlineStr">
        <is>
          <t>서종갑</t>
        </is>
      </c>
      <c r="F310" t="inlineStr">
        <is>
          <t>현대중공업, 동해에 그린수소 생산플랜트 구축</t>
        </is>
      </c>
      <c r="G310" s="2">
        <f>HYPERLINK("https://www.sedaily.com/NewsView/22M989YVZJ", "Go to Website")</f>
        <v/>
      </c>
      <c r="H310" t="inlineStr"/>
      <c r="I310" t="inlineStr">
        <is>
          <t>C31</t>
        </is>
      </c>
      <c r="J310" s="3" t="n">
        <v>0.996</v>
      </c>
      <c r="K310" t="inlineStr">
        <is>
          <t>기타 운송장비 제조업</t>
        </is>
      </c>
      <c r="L310" t="inlineStr">
        <is>
          <t>1</t>
        </is>
      </c>
      <c r="M310" s="3" t="n">
        <v>0.93</v>
      </c>
      <c r="N310" t="inlineStr">
        <is>
          <t>긍정</t>
        </is>
      </c>
    </row>
    <row r="311">
      <c r="A311" s="1" t="inlineStr">
        <is>
          <t>2021-05-06</t>
        </is>
      </c>
      <c r="B311" t="inlineStr">
        <is>
          <t>news</t>
        </is>
      </c>
      <c r="C311" t="inlineStr">
        <is>
          <t>economy</t>
        </is>
      </c>
      <c r="D311" t="inlineStr">
        <is>
          <t>뉴시스</t>
        </is>
      </c>
      <c r="E311" t="inlineStr">
        <is>
          <t>정윤아</t>
        </is>
      </c>
      <c r="F311" t="inlineStr">
        <is>
          <t>현대중공업, 동해에 그린수소 생산플랜트 구축</t>
        </is>
      </c>
      <c r="G311" s="2">
        <f>HYPERLINK("http://www.newsis.com/view/?id=NISX20210506_0001432226&amp;cID=13001&amp;pID=13000", "Go to Website")</f>
        <v/>
      </c>
      <c r="H311" t="inlineStr"/>
      <c r="I311" t="inlineStr">
        <is>
          <t>C31</t>
        </is>
      </c>
      <c r="J311" s="3" t="n">
        <v>1</v>
      </c>
      <c r="K311" t="inlineStr">
        <is>
          <t>기타 운송장비 제조업</t>
        </is>
      </c>
      <c r="L311" t="inlineStr">
        <is>
          <t>1</t>
        </is>
      </c>
      <c r="M311" s="3" t="n">
        <v>0.908</v>
      </c>
      <c r="N311" t="inlineStr">
        <is>
          <t>긍정</t>
        </is>
      </c>
    </row>
    <row r="312">
      <c r="A312" s="1" t="inlineStr">
        <is>
          <t>2021-05-06</t>
        </is>
      </c>
      <c r="B312" t="inlineStr">
        <is>
          <t>news</t>
        </is>
      </c>
      <c r="C312" t="inlineStr">
        <is>
          <t>economy</t>
        </is>
      </c>
      <c r="D312" t="inlineStr">
        <is>
          <t>뉴스1</t>
        </is>
      </c>
      <c r="E312" t="inlineStr">
        <is>
          <t>구교운</t>
        </is>
      </c>
      <c r="F312" t="inlineStr">
        <is>
          <t>현대重, 동해서 그린수소 뽑아낸다…해상플랜트 개발 나서</t>
        </is>
      </c>
      <c r="G312" s="2">
        <f>HYPERLINK("https://www.news1.kr/articles/?4298338", "Go to Website")</f>
        <v/>
      </c>
      <c r="H312" t="inlineStr"/>
      <c r="I312" t="inlineStr">
        <is>
          <t>C31</t>
        </is>
      </c>
      <c r="J312" s="3" t="n">
        <v>0.843</v>
      </c>
      <c r="K312" t="inlineStr">
        <is>
          <t>기타 운송장비 제조업</t>
        </is>
      </c>
      <c r="L312" t="inlineStr"/>
      <c r="M312" t="inlineStr"/>
      <c r="N312" t="inlineStr"/>
    </row>
    <row r="313">
      <c r="A313" s="1" t="inlineStr">
        <is>
          <t>2021-05-06</t>
        </is>
      </c>
      <c r="B313" t="inlineStr">
        <is>
          <t>news</t>
        </is>
      </c>
      <c r="C313" t="inlineStr">
        <is>
          <t>economy</t>
        </is>
      </c>
      <c r="D313" t="inlineStr">
        <is>
          <t>조선비즈</t>
        </is>
      </c>
      <c r="E313" t="inlineStr">
        <is>
          <t>김우영</t>
        </is>
      </c>
      <c r="F313" t="inlineStr">
        <is>
          <t>현대重, 동해에 그린수소 생산플랜트 구축한다</t>
        </is>
      </c>
      <c r="G313" s="2">
        <f>HYPERLINK("https://biz.chosun.com/industry/company/2021/05/06/YZXIZXYQJBGDVNUCPUJIAOM5IY/?utm_medium=original&amp;utm_campaign=biz", "Go to Website")</f>
        <v/>
      </c>
      <c r="H313" t="inlineStr"/>
      <c r="I313" t="inlineStr">
        <is>
          <t>H50</t>
        </is>
      </c>
      <c r="J313" s="3" t="n">
        <v>0.532</v>
      </c>
      <c r="K313" t="inlineStr">
        <is>
          <t>수상 운송업</t>
        </is>
      </c>
      <c r="L313" t="inlineStr">
        <is>
          <t>1</t>
        </is>
      </c>
      <c r="M313" s="3" t="n">
        <v>0.98</v>
      </c>
      <c r="N313" t="inlineStr">
        <is>
          <t>긍정</t>
        </is>
      </c>
    </row>
    <row r="314">
      <c r="A314" s="1" t="inlineStr">
        <is>
          <t>2021-05-06</t>
        </is>
      </c>
      <c r="B314" t="inlineStr">
        <is>
          <t>news</t>
        </is>
      </c>
      <c r="C314" t="inlineStr">
        <is>
          <t>economy</t>
        </is>
      </c>
      <c r="D314" t="inlineStr">
        <is>
          <t>노컷뉴스</t>
        </is>
      </c>
      <c r="E314" t="inlineStr">
        <is>
          <t>유동근</t>
        </is>
      </c>
      <c r="F314" t="inlineStr">
        <is>
          <t>금호석유화학, R&amp;D 강화하며 '솔루션 파트너' 도약</t>
        </is>
      </c>
      <c r="G314" s="2">
        <f>HYPERLINK("https://www.nocutnews.co.kr/news/5548443", "Go to Website")</f>
        <v/>
      </c>
      <c r="H314" t="inlineStr"/>
      <c r="I314" t="inlineStr">
        <is>
          <t>C20</t>
        </is>
      </c>
      <c r="J314" s="3" t="n">
        <v>1</v>
      </c>
      <c r="K314" t="inlineStr">
        <is>
          <t>화학 물질 및 화학제품 제조업; 의약품 제외</t>
        </is>
      </c>
      <c r="L314" t="inlineStr"/>
      <c r="M314" t="inlineStr"/>
      <c r="N314" t="inlineStr"/>
    </row>
    <row r="315">
      <c r="A315" s="1" t="inlineStr">
        <is>
          <t>2021-05-06</t>
        </is>
      </c>
      <c r="B315" t="inlineStr">
        <is>
          <t>news</t>
        </is>
      </c>
      <c r="C315" t="inlineStr">
        <is>
          <t>economy</t>
        </is>
      </c>
      <c r="D315" t="inlineStr">
        <is>
          <t>한국경제</t>
        </is>
      </c>
      <c r="E315" t="inlineStr">
        <is>
          <t>김동현</t>
        </is>
      </c>
      <c r="F315" t="inlineStr">
        <is>
          <t>"현대‧기아차와 기술 협력할 벤처 찾습니다"</t>
        </is>
      </c>
      <c r="G315" s="2">
        <f>HYPERLINK("https://www.hankyung.com/economy/article/202105064479i", "Go to Website")</f>
        <v/>
      </c>
      <c r="H315" t="inlineStr"/>
      <c r="I315" t="inlineStr">
        <is>
          <t>C30</t>
        </is>
      </c>
      <c r="J315" s="3" t="n">
        <v>0.999</v>
      </c>
      <c r="K315" t="inlineStr">
        <is>
          <t>자동차 및 트레일러 제조업</t>
        </is>
      </c>
      <c r="L315" t="inlineStr"/>
      <c r="M315" t="inlineStr"/>
      <c r="N315" t="inlineStr"/>
    </row>
    <row r="316">
      <c r="A316" s="1" t="inlineStr">
        <is>
          <t>2021-05-06</t>
        </is>
      </c>
      <c r="B316" t="inlineStr">
        <is>
          <t>news</t>
        </is>
      </c>
      <c r="C316" t="inlineStr">
        <is>
          <t>economy</t>
        </is>
      </c>
      <c r="D316" t="inlineStr">
        <is>
          <t>뉴스1</t>
        </is>
      </c>
      <c r="E316" t="inlineStr">
        <is>
          <t>박슬용</t>
        </is>
      </c>
      <c r="F316" t="inlineStr">
        <is>
          <t>전주상공회의소 '찾아가는 직업훈련 사업설명회' 개최</t>
        </is>
      </c>
      <c r="G316" s="2">
        <f>HYPERLINK("https://www.news1.kr/articles/?4298322", "Go to Website")</f>
        <v/>
      </c>
      <c r="H316" t="inlineStr"/>
      <c r="I316" t="inlineStr">
        <is>
          <t>100</t>
        </is>
      </c>
      <c r="J316" s="3" t="n">
        <v>0.967</v>
      </c>
      <c r="K316" t="inlineStr">
        <is>
          <t>분류 제외, 기타</t>
        </is>
      </c>
      <c r="L316" t="inlineStr"/>
      <c r="M316" t="inlineStr"/>
      <c r="N316" t="inlineStr"/>
    </row>
    <row r="317">
      <c r="A317" s="1" t="inlineStr">
        <is>
          <t>2021-05-06</t>
        </is>
      </c>
      <c r="B317" t="inlineStr">
        <is>
          <t>news</t>
        </is>
      </c>
      <c r="C317" t="inlineStr">
        <is>
          <t>economy</t>
        </is>
      </c>
      <c r="D317" t="inlineStr">
        <is>
          <t>파이낸셜뉴스</t>
        </is>
      </c>
      <c r="E317" t="inlineStr">
        <is>
          <t>박지애</t>
        </is>
      </c>
      <c r="F317" t="inlineStr">
        <is>
          <t>현대重, 동해에 그린수소 생산플랜트 구축</t>
        </is>
      </c>
      <c r="G317" s="2">
        <f>HYPERLINK("http://www.fnnews.com/news/202105061344433845", "Go to Website")</f>
        <v/>
      </c>
      <c r="H317" t="inlineStr"/>
      <c r="I317" t="inlineStr">
        <is>
          <t>H50</t>
        </is>
      </c>
      <c r="J317" s="3" t="n">
        <v>0.749</v>
      </c>
      <c r="K317" t="inlineStr">
        <is>
          <t>수상 운송업</t>
        </is>
      </c>
      <c r="L317" t="inlineStr">
        <is>
          <t>1</t>
        </is>
      </c>
      <c r="M317" s="3" t="n">
        <v>0.961</v>
      </c>
      <c r="N317" t="inlineStr">
        <is>
          <t>긍정</t>
        </is>
      </c>
    </row>
    <row r="318">
      <c r="A318" s="1" t="inlineStr">
        <is>
          <t>2021-05-06</t>
        </is>
      </c>
      <c r="B318" t="inlineStr">
        <is>
          <t>news</t>
        </is>
      </c>
      <c r="C318" t="inlineStr">
        <is>
          <t>economy</t>
        </is>
      </c>
      <c r="D318" t="inlineStr">
        <is>
          <t>아시아경제</t>
        </is>
      </c>
      <c r="E318" t="inlineStr">
        <is>
          <t>황윤주</t>
        </is>
      </c>
      <c r="F318" t="inlineStr">
        <is>
          <t>현대重, 동해에 그린수소 생산플랜트 구축</t>
        </is>
      </c>
      <c r="G318" s="2">
        <f>HYPERLINK("https://view.asiae.co.kr/article/2021050615370519024", "Go to Website")</f>
        <v/>
      </c>
      <c r="H318" t="inlineStr"/>
      <c r="I318" t="inlineStr">
        <is>
          <t>M71</t>
        </is>
      </c>
      <c r="J318" s="3" t="n">
        <v>0.368</v>
      </c>
      <c r="K318" t="inlineStr">
        <is>
          <t>전문 서비스업</t>
        </is>
      </c>
      <c r="L318" t="inlineStr">
        <is>
          <t>1</t>
        </is>
      </c>
      <c r="M318" s="3" t="n">
        <v>0.963</v>
      </c>
      <c r="N318" t="inlineStr">
        <is>
          <t>긍정</t>
        </is>
      </c>
    </row>
    <row r="319">
      <c r="A319" s="1" t="inlineStr">
        <is>
          <t>2021-05-06</t>
        </is>
      </c>
      <c r="B319" t="inlineStr">
        <is>
          <t>news</t>
        </is>
      </c>
      <c r="C319" t="inlineStr">
        <is>
          <t>economy</t>
        </is>
      </c>
      <c r="D319" t="inlineStr">
        <is>
          <t>뉴시스</t>
        </is>
      </c>
      <c r="E319" t="inlineStr">
        <is>
          <t>박주연</t>
        </is>
      </c>
      <c r="F319" t="inlineStr">
        <is>
          <t>9월 '수소모빌리티+쇼'…글로벌기업들 수소기술 '경합'</t>
        </is>
      </c>
      <c r="G319" s="2">
        <f>HYPERLINK("http://www.newsis.com/view/?id=NISX20210506_0001431347&amp;cID=13001&amp;pID=13000", "Go to Website")</f>
        <v/>
      </c>
      <c r="H319" t="inlineStr"/>
      <c r="I319" t="inlineStr">
        <is>
          <t>C20</t>
        </is>
      </c>
      <c r="J319" s="3" t="n">
        <v>0.427</v>
      </c>
      <c r="K319" t="inlineStr">
        <is>
          <t>화학 물질 및 화학제품 제조업; 의약품 제외</t>
        </is>
      </c>
      <c r="L319" t="inlineStr"/>
      <c r="M319" t="inlineStr"/>
      <c r="N319" t="inlineStr"/>
    </row>
    <row r="320">
      <c r="A320" s="1" t="inlineStr">
        <is>
          <t>2021-05-06</t>
        </is>
      </c>
      <c r="B320" t="inlineStr">
        <is>
          <t>news</t>
        </is>
      </c>
      <c r="C320" t="inlineStr">
        <is>
          <t>economy</t>
        </is>
      </c>
      <c r="D320" t="inlineStr">
        <is>
          <t>연합뉴스</t>
        </is>
      </c>
      <c r="E320" t="inlineStr">
        <is>
          <t>이재현</t>
        </is>
      </c>
      <c r="F320" t="inlineStr">
        <is>
          <t>강원 2030년 동북아 수소에너지 허브 된다…연매출 3조9천억원</t>
        </is>
      </c>
      <c r="G320" s="2">
        <f>HYPERLINK("http://yna.kr/AKR20210506061400062?did=1195m", "Go to Website")</f>
        <v/>
      </c>
      <c r="H320" t="inlineStr"/>
      <c r="I320" t="inlineStr">
        <is>
          <t>B05</t>
        </is>
      </c>
      <c r="J320" s="3" t="n">
        <v>0.978</v>
      </c>
      <c r="K320" t="inlineStr">
        <is>
          <t>석탄, 원유 및 천연가스 광업</t>
        </is>
      </c>
      <c r="L320" t="inlineStr">
        <is>
          <t>0</t>
        </is>
      </c>
      <c r="M320" s="3" t="n">
        <v>0.751</v>
      </c>
      <c r="N320" t="inlineStr">
        <is>
          <t>중립</t>
        </is>
      </c>
    </row>
    <row r="321">
      <c r="A321" s="1" t="inlineStr">
        <is>
          <t>2021-05-06</t>
        </is>
      </c>
      <c r="B321" t="inlineStr">
        <is>
          <t>news</t>
        </is>
      </c>
      <c r="C321" t="inlineStr">
        <is>
          <t>economy</t>
        </is>
      </c>
      <c r="D321" t="inlineStr">
        <is>
          <t>머니투데이</t>
        </is>
      </c>
      <c r="E321" t="inlineStr">
        <is>
          <t>김건우</t>
        </is>
      </c>
      <c r="F321" t="inlineStr">
        <is>
          <t>영신금속,  전기차 부품 공장 건설 추진...글로벌 1위 업체 수주 성공</t>
        </is>
      </c>
      <c r="G321" s="2">
        <f>HYPERLINK("http://news.mt.co.kr/mtview.php?no=2021050610090943244", "Go to Website")</f>
        <v/>
      </c>
      <c r="H321" t="inlineStr"/>
      <c r="I321" t="inlineStr">
        <is>
          <t>100</t>
        </is>
      </c>
      <c r="J321" s="3" t="n">
        <v>0.999</v>
      </c>
      <c r="K321" t="inlineStr">
        <is>
          <t>분류 제외, 기타</t>
        </is>
      </c>
      <c r="L321" t="inlineStr">
        <is>
          <t>1</t>
        </is>
      </c>
      <c r="M321" s="3" t="n">
        <v>1</v>
      </c>
      <c r="N321" t="inlineStr">
        <is>
          <t>긍정</t>
        </is>
      </c>
    </row>
    <row r="322">
      <c r="A322" s="1" t="inlineStr">
        <is>
          <t>2021-05-06</t>
        </is>
      </c>
      <c r="B322" t="inlineStr">
        <is>
          <t>news</t>
        </is>
      </c>
      <c r="C322" t="inlineStr">
        <is>
          <t>economy</t>
        </is>
      </c>
      <c r="D322" t="inlineStr">
        <is>
          <t>한국경제TV</t>
        </is>
      </c>
      <c r="E322" t="inlineStr">
        <is>
          <t>신재근</t>
        </is>
      </c>
      <c r="F322" t="inlineStr">
        <is>
          <t>최신 수소 기술 선보인다…'수소모빌리티+쇼' 9월 개최</t>
        </is>
      </c>
      <c r="G322" s="2">
        <f>HYPERLINK("http://www.wowtv.co.kr/NewsCenter/News/Read?articleId=A202105050057&amp;t=NN", "Go to Website")</f>
        <v/>
      </c>
      <c r="H322" t="inlineStr"/>
      <c r="I322" t="inlineStr">
        <is>
          <t>100</t>
        </is>
      </c>
      <c r="J322" s="3" t="n">
        <v>0.42</v>
      </c>
      <c r="K322" t="inlineStr">
        <is>
          <t>분류 제외, 기타</t>
        </is>
      </c>
      <c r="L322" t="inlineStr"/>
      <c r="M322" t="inlineStr"/>
      <c r="N322" t="inlineStr"/>
    </row>
    <row r="323">
      <c r="A323" s="1" t="inlineStr">
        <is>
          <t>2021-05-06</t>
        </is>
      </c>
      <c r="B323" t="inlineStr">
        <is>
          <t>news</t>
        </is>
      </c>
      <c r="C323" t="inlineStr">
        <is>
          <t>economy</t>
        </is>
      </c>
      <c r="D323" t="inlineStr">
        <is>
          <t>데일리안</t>
        </is>
      </c>
      <c r="E323" t="inlineStr">
        <is>
          <t>조인영</t>
        </is>
      </c>
      <c r="F323" t="inlineStr">
        <is>
          <t>9월 '수소모빌리티+쇼'에 현대차·포스코 등 참가</t>
        </is>
      </c>
      <c r="G323" s="2">
        <f>HYPERLINK("https://www.dailian.co.kr/news/view/988617/", "Go to Website")</f>
        <v/>
      </c>
      <c r="H323" t="inlineStr"/>
      <c r="I323" t="inlineStr">
        <is>
          <t>100</t>
        </is>
      </c>
      <c r="J323" s="3" t="n">
        <v>0.661</v>
      </c>
      <c r="K323" t="inlineStr">
        <is>
          <t>분류 제외, 기타</t>
        </is>
      </c>
      <c r="L323" t="inlineStr"/>
      <c r="M323" t="inlineStr"/>
      <c r="N323" t="inlineStr"/>
    </row>
    <row r="324">
      <c r="A324" s="1" t="inlineStr">
        <is>
          <t>2021-05-06</t>
        </is>
      </c>
      <c r="B324" t="inlineStr">
        <is>
          <t>news</t>
        </is>
      </c>
      <c r="C324" t="inlineStr">
        <is>
          <t>economy</t>
        </is>
      </c>
      <c r="D324" t="inlineStr">
        <is>
          <t>머니투데이</t>
        </is>
      </c>
      <c r="E324" t="inlineStr">
        <is>
          <t>안재용</t>
        </is>
      </c>
      <c r="F324" t="inlineStr">
        <is>
          <t>어깨 무거운 '문승욱 호' 산업부...반도체·탄소중립 등 과제 산적</t>
        </is>
      </c>
      <c r="G324" s="2">
        <f>HYPERLINK("http://news.mt.co.kr/mtview.php?no=2021050518375237255", "Go to Website")</f>
        <v/>
      </c>
      <c r="H324" t="inlineStr"/>
      <c r="I324" t="inlineStr">
        <is>
          <t>K65</t>
        </is>
      </c>
      <c r="J324" s="3" t="n">
        <v>0.503</v>
      </c>
      <c r="K324" t="inlineStr">
        <is>
          <t>보험 및 연금업</t>
        </is>
      </c>
      <c r="L324" t="inlineStr">
        <is>
          <t>0</t>
        </is>
      </c>
      <c r="M324" s="3" t="n">
        <v>0.998</v>
      </c>
      <c r="N324" t="inlineStr">
        <is>
          <t>중립</t>
        </is>
      </c>
    </row>
    <row r="325">
      <c r="A325" s="1" t="inlineStr">
        <is>
          <t>2021-05-06</t>
        </is>
      </c>
      <c r="B325" t="inlineStr">
        <is>
          <t>news</t>
        </is>
      </c>
      <c r="C325" t="inlineStr">
        <is>
          <t>economy</t>
        </is>
      </c>
      <c r="D325" t="inlineStr">
        <is>
          <t>세계일보</t>
        </is>
      </c>
      <c r="E325" t="inlineStr">
        <is>
          <t>나기천</t>
        </is>
      </c>
      <c r="F325" t="inlineStr">
        <is>
          <t>9월 ‘수소모빌리티+쇼’에  현대차그룹 및 글로벌 기업 대거 참가</t>
        </is>
      </c>
      <c r="G325" s="2">
        <f>HYPERLINK("http://www.segye.com/content/html/2021/05/05/20210505504453.html", "Go to Website")</f>
        <v/>
      </c>
      <c r="H325" t="inlineStr"/>
      <c r="I325" t="inlineStr">
        <is>
          <t>100</t>
        </is>
      </c>
      <c r="J325" s="3" t="n">
        <v>0.611</v>
      </c>
      <c r="K325" t="inlineStr">
        <is>
          <t>분류 제외, 기타</t>
        </is>
      </c>
      <c r="L325" t="inlineStr"/>
      <c r="M325" t="inlineStr"/>
      <c r="N325" t="inlineStr"/>
    </row>
    <row r="326">
      <c r="A326" s="1" t="inlineStr">
        <is>
          <t>2021-05-05</t>
        </is>
      </c>
      <c r="B326" t="inlineStr">
        <is>
          <t>news</t>
        </is>
      </c>
      <c r="C326" t="inlineStr">
        <is>
          <t>economy</t>
        </is>
      </c>
      <c r="D326" t="inlineStr">
        <is>
          <t>한국경제</t>
        </is>
      </c>
      <c r="E326" t="inlineStr">
        <is>
          <t>도병욱</t>
        </is>
      </c>
      <c r="F326" t="inlineStr">
        <is>
          <t>'수소모빌리티+쇼' 참가기업 이달 모집</t>
        </is>
      </c>
      <c r="G326" s="2">
        <f>HYPERLINK("https://www.hankyung.com/economy/article/2021050515351", "Go to Website")</f>
        <v/>
      </c>
      <c r="H326" t="inlineStr"/>
      <c r="I326" t="inlineStr">
        <is>
          <t>100</t>
        </is>
      </c>
      <c r="J326" s="3" t="n">
        <v>0.901</v>
      </c>
      <c r="K326" t="inlineStr">
        <is>
          <t>분류 제외, 기타</t>
        </is>
      </c>
      <c r="L326" t="inlineStr"/>
      <c r="M326" t="inlineStr"/>
      <c r="N326" t="inlineStr"/>
    </row>
    <row r="327">
      <c r="A327" s="1" t="inlineStr">
        <is>
          <t>2021-05-05</t>
        </is>
      </c>
      <c r="B327" t="inlineStr">
        <is>
          <t>news</t>
        </is>
      </c>
      <c r="C327" t="inlineStr">
        <is>
          <t>economy</t>
        </is>
      </c>
      <c r="D327" t="inlineStr">
        <is>
          <t>파이낸셜뉴스</t>
        </is>
      </c>
      <c r="E327" t="inlineStr">
        <is>
          <t>김병덕</t>
        </is>
      </c>
      <c r="F327" t="inlineStr">
        <is>
          <t>현대차·포스코 등 ‘수소모빌리티+쇼’ 대거 참여</t>
        </is>
      </c>
      <c r="G327" s="2">
        <f>HYPERLINK("http://www.fnnews.com/news/202105051807106233", "Go to Website")</f>
        <v/>
      </c>
      <c r="H327" t="inlineStr"/>
      <c r="I327" t="inlineStr">
        <is>
          <t>C28</t>
        </is>
      </c>
      <c r="J327" s="3" t="n">
        <v>0.398</v>
      </c>
      <c r="K327" t="inlineStr">
        <is>
          <t>전기장비 제조업</t>
        </is>
      </c>
      <c r="L327" t="inlineStr"/>
      <c r="M327" t="inlineStr"/>
      <c r="N327" t="inlineStr"/>
    </row>
    <row r="328">
      <c r="A328" s="1" t="inlineStr">
        <is>
          <t>2021-05-05</t>
        </is>
      </c>
      <c r="B328" t="inlineStr">
        <is>
          <t>news</t>
        </is>
      </c>
      <c r="C328" t="inlineStr">
        <is>
          <t>economy</t>
        </is>
      </c>
      <c r="D328" t="inlineStr">
        <is>
          <t>매일경제</t>
        </is>
      </c>
      <c r="E328" t="inlineStr">
        <is>
          <t>송민근</t>
        </is>
      </c>
      <c r="F328" t="inlineStr">
        <is>
          <t>'전기차發 쇼크' 韓 일자리 48만개 위태</t>
        </is>
      </c>
      <c r="G328" s="2">
        <f>HYPERLINK("http://news.mk.co.kr/newsRead.php?no=434155&amp;year=2021", "Go to Website")</f>
        <v/>
      </c>
      <c r="H328" t="inlineStr"/>
      <c r="I328" t="inlineStr">
        <is>
          <t>100</t>
        </is>
      </c>
      <c r="J328" s="3" t="n">
        <v>0.411</v>
      </c>
      <c r="K328" t="inlineStr">
        <is>
          <t>분류 제외, 기타</t>
        </is>
      </c>
      <c r="L328" t="inlineStr"/>
      <c r="M328" t="inlineStr"/>
      <c r="N328" t="inlineStr"/>
    </row>
    <row r="329">
      <c r="A329" s="1" t="inlineStr">
        <is>
          <t>2021-05-05</t>
        </is>
      </c>
      <c r="B329" t="inlineStr">
        <is>
          <t>news</t>
        </is>
      </c>
      <c r="C329" t="inlineStr">
        <is>
          <t>tech</t>
        </is>
      </c>
      <c r="D329" t="inlineStr">
        <is>
          <t>KBS</t>
        </is>
      </c>
      <c r="E329" t="inlineStr"/>
      <c r="F329" t="inlineStr">
        <is>
          <t>한정애 환경부 장관 “온실가스 배출, 최근 감소 추세로 돌아서”</t>
        </is>
      </c>
      <c r="G329" s="2">
        <f>HYPERLINK("https://news.kbs.co.kr/news/view.do?ncd=5178837&amp;ref=A", "Go to Website")</f>
        <v/>
      </c>
      <c r="H329" t="inlineStr"/>
      <c r="I329" t="inlineStr"/>
      <c r="J329" t="inlineStr"/>
      <c r="K329" t="inlineStr"/>
      <c r="L329" t="inlineStr"/>
      <c r="M329" t="inlineStr"/>
      <c r="N329" t="inlineStr"/>
    </row>
    <row r="330">
      <c r="A330" s="1" t="inlineStr">
        <is>
          <t>2021-05-05</t>
        </is>
      </c>
      <c r="B330" t="inlineStr">
        <is>
          <t>news</t>
        </is>
      </c>
      <c r="C330" t="inlineStr">
        <is>
          <t>economy</t>
        </is>
      </c>
      <c r="D330" t="inlineStr">
        <is>
          <t>한국경제</t>
        </is>
      </c>
      <c r="E330" t="inlineStr">
        <is>
          <t>안대규</t>
        </is>
      </c>
      <c r="F330" t="inlineStr">
        <is>
          <t>테슬라도 긴급 수송하는 '삼우코리아 금형'</t>
        </is>
      </c>
      <c r="G330" s="2">
        <f>HYPERLINK("https://www.hankyung.com/economy/article/2021050511581", "Go to Website")</f>
        <v/>
      </c>
      <c r="H330" t="inlineStr"/>
      <c r="I330" t="inlineStr">
        <is>
          <t>C30</t>
        </is>
      </c>
      <c r="J330" s="3" t="n">
        <v>0.448</v>
      </c>
      <c r="K330" t="inlineStr">
        <is>
          <t>자동차 및 트레일러 제조업</t>
        </is>
      </c>
      <c r="L330" t="inlineStr"/>
      <c r="M330" t="inlineStr"/>
      <c r="N330" t="inlineStr"/>
    </row>
    <row r="331">
      <c r="A331" s="1" t="inlineStr">
        <is>
          <t>2021-05-05</t>
        </is>
      </c>
      <c r="B331" t="inlineStr">
        <is>
          <t>news</t>
        </is>
      </c>
      <c r="C331" t="inlineStr">
        <is>
          <t>economy</t>
        </is>
      </c>
      <c r="D331" t="inlineStr">
        <is>
          <t>한국경제</t>
        </is>
      </c>
      <c r="E331" t="inlineStr">
        <is>
          <t>민경진</t>
        </is>
      </c>
      <c r="F331" t="inlineStr">
        <is>
          <t>에이스테크, 현대차·기아에 車 안테나 공급</t>
        </is>
      </c>
      <c r="G331" s="2">
        <f>HYPERLINK("https://www.hankyung.com/economy/article/2021050511561", "Go to Website")</f>
        <v/>
      </c>
      <c r="H331" t="inlineStr"/>
      <c r="I331" t="inlineStr">
        <is>
          <t>C26</t>
        </is>
      </c>
      <c r="J331" s="3" t="n">
        <v>0.721</v>
      </c>
      <c r="K331" t="inlineStr">
        <is>
          <t>전자 부품, 컴퓨터, 영상, 음향 및 통신장비 제조업</t>
        </is>
      </c>
      <c r="L331" t="inlineStr">
        <is>
          <t>1</t>
        </is>
      </c>
      <c r="M331" s="3" t="n">
        <v>1</v>
      </c>
      <c r="N331" t="inlineStr">
        <is>
          <t>긍정</t>
        </is>
      </c>
    </row>
    <row r="332">
      <c r="A332" s="1" t="inlineStr">
        <is>
          <t>2021-05-05</t>
        </is>
      </c>
      <c r="B332" t="inlineStr">
        <is>
          <t>news</t>
        </is>
      </c>
      <c r="C332" t="inlineStr">
        <is>
          <t>economy</t>
        </is>
      </c>
      <c r="D332" t="inlineStr">
        <is>
          <t>매경이코노미</t>
        </is>
      </c>
      <c r="E332" t="inlineStr">
        <is>
          <t>김경민</t>
        </is>
      </c>
      <c r="F332" t="inlineStr">
        <is>
          <t>잘나가는 효성그룹  티앤씨·첨단소재·화학...시총이 벌써 10조</t>
        </is>
      </c>
      <c r="G332" s="2">
        <f>HYPERLINK("http://news.mk.co.kr/v2/economy/view.php?year=2021&amp;no=433762", "Go to Website")</f>
        <v/>
      </c>
      <c r="H332" t="inlineStr"/>
      <c r="I332" t="inlineStr">
        <is>
          <t>C20</t>
        </is>
      </c>
      <c r="J332" s="3" t="n">
        <v>1</v>
      </c>
      <c r="K332" t="inlineStr">
        <is>
          <t>화학 물질 및 화학제품 제조업; 의약품 제외</t>
        </is>
      </c>
      <c r="L332" t="inlineStr"/>
      <c r="M332" t="inlineStr"/>
      <c r="N332" t="inlineStr"/>
    </row>
    <row r="333">
      <c r="A333" s="1" t="inlineStr">
        <is>
          <t>2021-05-05</t>
        </is>
      </c>
      <c r="B333" t="inlineStr">
        <is>
          <t>news</t>
        </is>
      </c>
      <c r="C333" t="inlineStr">
        <is>
          <t>economy</t>
        </is>
      </c>
      <c r="D333" t="inlineStr">
        <is>
          <t>매일신문</t>
        </is>
      </c>
      <c r="E333" t="inlineStr">
        <is>
          <t>채원영</t>
        </is>
      </c>
      <c r="F333" t="inlineStr">
        <is>
          <t>[車부품 CEO] &lt;4&gt;장국환 삼보모터스 사장</t>
        </is>
      </c>
      <c r="G333" s="2">
        <f>HYPERLINK("https://news.imaeil.com/Economy/2021050316334939584", "Go to Website")</f>
        <v/>
      </c>
      <c r="H333" t="inlineStr"/>
      <c r="I333" t="inlineStr">
        <is>
          <t>C30</t>
        </is>
      </c>
      <c r="J333" s="3" t="n">
        <v>0.474</v>
      </c>
      <c r="K333" t="inlineStr">
        <is>
          <t>자동차 및 트레일러 제조업</t>
        </is>
      </c>
      <c r="L333" t="inlineStr">
        <is>
          <t>0</t>
        </is>
      </c>
      <c r="M333" s="3" t="n">
        <v>0.924</v>
      </c>
      <c r="N333" t="inlineStr">
        <is>
          <t>중립</t>
        </is>
      </c>
    </row>
    <row r="334">
      <c r="A334" s="1" t="inlineStr">
        <is>
          <t>2021-05-05</t>
        </is>
      </c>
      <c r="B334" t="inlineStr">
        <is>
          <t>news</t>
        </is>
      </c>
      <c r="C334" t="inlineStr">
        <is>
          <t>economy</t>
        </is>
      </c>
      <c r="D334" t="inlineStr">
        <is>
          <t>한국경제</t>
        </is>
      </c>
      <c r="E334" t="inlineStr">
        <is>
          <t>안대규</t>
        </is>
      </c>
      <c r="F334" t="inlineStr">
        <is>
          <t>테슬라도 비행기로 긴급 공수해야하는 中企 금형 기술력</t>
        </is>
      </c>
      <c r="G334" s="2">
        <f>HYPERLINK("https://www.hankyung.com/economy/article/202105049632i", "Go to Website")</f>
        <v/>
      </c>
      <c r="H334" t="inlineStr"/>
      <c r="I334" t="inlineStr">
        <is>
          <t>C30</t>
        </is>
      </c>
      <c r="J334" s="3" t="n">
        <v>0.999</v>
      </c>
      <c r="K334" t="inlineStr">
        <is>
          <t>자동차 및 트레일러 제조업</t>
        </is>
      </c>
      <c r="L334" t="inlineStr">
        <is>
          <t>0</t>
        </is>
      </c>
      <c r="M334" s="3" t="n">
        <v>0.902</v>
      </c>
      <c r="N334" t="inlineStr">
        <is>
          <t>중립</t>
        </is>
      </c>
    </row>
    <row r="335">
      <c r="A335" s="1" t="inlineStr">
        <is>
          <t>2021-05-05</t>
        </is>
      </c>
      <c r="B335" t="inlineStr">
        <is>
          <t>news</t>
        </is>
      </c>
      <c r="C335" t="inlineStr">
        <is>
          <t>economy</t>
        </is>
      </c>
      <c r="D335" t="inlineStr">
        <is>
          <t>파이낸셜뉴스</t>
        </is>
      </c>
      <c r="E335" t="inlineStr">
        <is>
          <t>김병덕</t>
        </is>
      </c>
      <c r="F335" t="inlineStr">
        <is>
          <t>현대차·포스코 등 국내외기업 '수소모빌리티+쇼' 대거 참가</t>
        </is>
      </c>
      <c r="G335" s="2">
        <f>HYPERLINK("http://www.fnnews.com/news/202105051358314271", "Go to Website")</f>
        <v/>
      </c>
      <c r="H335" t="inlineStr"/>
      <c r="I335" t="inlineStr">
        <is>
          <t>C33</t>
        </is>
      </c>
      <c r="J335" s="3" t="n">
        <v>0.527</v>
      </c>
      <c r="K335" t="inlineStr">
        <is>
          <t>기타 제품 제조업</t>
        </is>
      </c>
      <c r="L335" t="inlineStr"/>
      <c r="M335" t="inlineStr"/>
      <c r="N335" t="inlineStr"/>
    </row>
    <row r="336">
      <c r="A336" s="1" t="inlineStr">
        <is>
          <t>2021-05-05</t>
        </is>
      </c>
      <c r="B336" t="inlineStr">
        <is>
          <t>news</t>
        </is>
      </c>
      <c r="C336" t="inlineStr">
        <is>
          <t>tech</t>
        </is>
      </c>
      <c r="D336" t="inlineStr">
        <is>
          <t>블로터</t>
        </is>
      </c>
      <c r="E336" t="inlineStr">
        <is>
          <t>구태우</t>
        </is>
      </c>
      <c r="F336" t="inlineStr">
        <is>
          <t>[넘버스]현대차의 미래차, 수소차가 아닌 이유②</t>
        </is>
      </c>
      <c r="G336" s="2">
        <f>HYPERLINK("http://www.bloter.net/newsView/blt202105040022", "Go to Website")</f>
        <v/>
      </c>
      <c r="H336" t="inlineStr"/>
      <c r="I336" t="inlineStr"/>
      <c r="J336" t="inlineStr"/>
      <c r="K336" t="inlineStr"/>
      <c r="L336" t="inlineStr"/>
      <c r="M336" t="inlineStr"/>
      <c r="N336" t="inlineStr"/>
    </row>
    <row r="337">
      <c r="A337" s="1" t="inlineStr">
        <is>
          <t>2021-05-05</t>
        </is>
      </c>
      <c r="B337" t="inlineStr">
        <is>
          <t>news</t>
        </is>
      </c>
      <c r="C337" t="inlineStr">
        <is>
          <t>economy</t>
        </is>
      </c>
      <c r="D337" t="inlineStr">
        <is>
          <t>머니투데이</t>
        </is>
      </c>
      <c r="E337" t="inlineStr">
        <is>
          <t>안재용</t>
        </is>
      </c>
      <c r="F337" t="inlineStr">
        <is>
          <t>어깨 무거운 새 산업부 장관…청문회 통과 '문승욱호' 과제는</t>
        </is>
      </c>
      <c r="G337" s="2">
        <f>HYPERLINK("http://news.mt.co.kr/mtview.php?no=2021050511272745902", "Go to Website")</f>
        <v/>
      </c>
      <c r="H337" t="inlineStr"/>
      <c r="I337" t="inlineStr">
        <is>
          <t>100</t>
        </is>
      </c>
      <c r="J337" s="3" t="n">
        <v>0.896</v>
      </c>
      <c r="K337" t="inlineStr">
        <is>
          <t>분류 제외, 기타</t>
        </is>
      </c>
      <c r="L337" t="inlineStr">
        <is>
          <t>0</t>
        </is>
      </c>
      <c r="M337" s="3" t="n">
        <v>1</v>
      </c>
      <c r="N337" t="inlineStr">
        <is>
          <t>중립</t>
        </is>
      </c>
    </row>
    <row r="338">
      <c r="A338" s="1" t="inlineStr">
        <is>
          <t>2021-05-05</t>
        </is>
      </c>
      <c r="B338" t="inlineStr">
        <is>
          <t>news</t>
        </is>
      </c>
      <c r="C338" t="inlineStr">
        <is>
          <t>economy</t>
        </is>
      </c>
      <c r="D338" t="inlineStr">
        <is>
          <t>전자신문</t>
        </is>
      </c>
      <c r="E338" t="inlineStr">
        <is>
          <t>이경민</t>
        </is>
      </c>
      <c r="F338" t="inlineStr">
        <is>
          <t>한정애 환경부 장관 "전기차 구매 때 보조금 조기 소진 없을 것"</t>
        </is>
      </c>
      <c r="G338" s="2">
        <f>HYPERLINK("http://www.etnews.com/20210504000183", "Go to Website")</f>
        <v/>
      </c>
      <c r="H338" t="inlineStr"/>
      <c r="I338" t="inlineStr">
        <is>
          <t>100</t>
        </is>
      </c>
      <c r="J338" s="3" t="n">
        <v>0.405</v>
      </c>
      <c r="K338" t="inlineStr">
        <is>
          <t>분류 제외, 기타</t>
        </is>
      </c>
      <c r="L338" t="inlineStr"/>
      <c r="M338" t="inlineStr"/>
      <c r="N338" t="inlineStr"/>
    </row>
    <row r="339">
      <c r="A339" s="1" t="inlineStr">
        <is>
          <t>2021-05-05</t>
        </is>
      </c>
      <c r="B339" t="inlineStr">
        <is>
          <t>news</t>
        </is>
      </c>
      <c r="C339" t="inlineStr">
        <is>
          <t>economy</t>
        </is>
      </c>
      <c r="D339" t="inlineStr">
        <is>
          <t>서울경제</t>
        </is>
      </c>
      <c r="E339" t="inlineStr">
        <is>
          <t>조지원</t>
        </is>
      </c>
      <c r="F339" t="inlineStr">
        <is>
          <t>한정애 장관 “수도권매립지 2027년까지 사용 가능···추가 공모 추진”</t>
        </is>
      </c>
      <c r="G339" s="2">
        <f>HYPERLINK("https://www.sedaily.com/NewsView/22M8RF1FX2", "Go to Website")</f>
        <v/>
      </c>
      <c r="H339" t="inlineStr"/>
      <c r="I339" t="inlineStr">
        <is>
          <t>100</t>
        </is>
      </c>
      <c r="J339" s="3" t="n">
        <v>0.927</v>
      </c>
      <c r="K339" t="inlineStr">
        <is>
          <t>분류 제외, 기타</t>
        </is>
      </c>
      <c r="L339" t="inlineStr"/>
      <c r="M339" t="inlineStr"/>
      <c r="N339" t="inlineStr"/>
    </row>
    <row r="340">
      <c r="A340" s="1" t="inlineStr">
        <is>
          <t>2021-05-05</t>
        </is>
      </c>
      <c r="B340" t="inlineStr">
        <is>
          <t>news</t>
        </is>
      </c>
      <c r="C340" t="inlineStr">
        <is>
          <t>economy</t>
        </is>
      </c>
      <c r="D340" t="inlineStr">
        <is>
          <t>데일리안</t>
        </is>
      </c>
      <c r="E340" t="inlineStr">
        <is>
          <t>배군득</t>
        </is>
      </c>
      <c r="F340" t="inlineStr">
        <is>
          <t>한정애 장관 “과감한 기후환경 정책 추진…사회・경제적 성과 냈다”</t>
        </is>
      </c>
      <c r="G340" s="2">
        <f>HYPERLINK("https://www.dailian.co.kr/news/view/988535/", "Go to Website")</f>
        <v/>
      </c>
      <c r="H340" t="inlineStr"/>
      <c r="I340" t="inlineStr">
        <is>
          <t>100</t>
        </is>
      </c>
      <c r="J340" s="3" t="n">
        <v>0.973</v>
      </c>
      <c r="K340" t="inlineStr">
        <is>
          <t>분류 제외, 기타</t>
        </is>
      </c>
      <c r="L340" t="inlineStr"/>
      <c r="M340" t="inlineStr"/>
      <c r="N340" t="inlineStr"/>
    </row>
    <row r="341">
      <c r="A341" s="1" t="inlineStr">
        <is>
          <t>2021-05-05</t>
        </is>
      </c>
      <c r="B341" t="inlineStr">
        <is>
          <t>news</t>
        </is>
      </c>
      <c r="C341" t="inlineStr">
        <is>
          <t>economy</t>
        </is>
      </c>
      <c r="D341" t="inlineStr">
        <is>
          <t>뉴시스</t>
        </is>
      </c>
      <c r="E341" t="inlineStr">
        <is>
          <t>최희정</t>
        </is>
      </c>
      <c r="F341" t="inlineStr">
        <is>
          <t>9월 '수소모빌리티+쇼'에 현대車·포스코 등 글로벌 기업 참가</t>
        </is>
      </c>
      <c r="G341" s="2">
        <f>HYPERLINK("http://www.newsis.com/view/?id=NISX20210505_0001430668&amp;cID=10401&amp;pID=10400", "Go to Website")</f>
        <v/>
      </c>
      <c r="H341" t="inlineStr"/>
      <c r="I341" t="inlineStr">
        <is>
          <t>100</t>
        </is>
      </c>
      <c r="J341" s="3" t="n">
        <v>0.432</v>
      </c>
      <c r="K341" t="inlineStr">
        <is>
          <t>분류 제외, 기타</t>
        </is>
      </c>
      <c r="L341" t="inlineStr"/>
      <c r="M341" t="inlineStr"/>
      <c r="N341" t="inlineStr"/>
    </row>
    <row r="342">
      <c r="A342" s="1" t="inlineStr">
        <is>
          <t>2021-05-05</t>
        </is>
      </c>
      <c r="B342" t="inlineStr">
        <is>
          <t>news</t>
        </is>
      </c>
      <c r="C342" t="inlineStr">
        <is>
          <t>economy</t>
        </is>
      </c>
      <c r="D342" t="inlineStr">
        <is>
          <t>파이낸셜뉴스</t>
        </is>
      </c>
      <c r="E342" t="inlineStr">
        <is>
          <t>최종근</t>
        </is>
      </c>
      <c r="F342" t="inlineStr">
        <is>
          <t>9월 수소모빌리티+쇼 현대차·포스코 등 국내외 기업 참가</t>
        </is>
      </c>
      <c r="G342" s="2">
        <f>HYPERLINK("http://www.fnnews.com/news/202105051036160752", "Go to Website")</f>
        <v/>
      </c>
      <c r="H342" t="inlineStr"/>
      <c r="I342" t="inlineStr">
        <is>
          <t>100</t>
        </is>
      </c>
      <c r="J342" s="3" t="n">
        <v>0.413</v>
      </c>
      <c r="K342" t="inlineStr">
        <is>
          <t>분류 제외, 기타</t>
        </is>
      </c>
      <c r="L342" t="inlineStr"/>
      <c r="M342" t="inlineStr"/>
      <c r="N342" t="inlineStr"/>
    </row>
    <row r="343">
      <c r="A343" s="1" t="inlineStr">
        <is>
          <t>2021-05-05</t>
        </is>
      </c>
      <c r="B343" t="inlineStr">
        <is>
          <t>news</t>
        </is>
      </c>
      <c r="C343" t="inlineStr">
        <is>
          <t>economy</t>
        </is>
      </c>
      <c r="D343" t="inlineStr">
        <is>
          <t>뉴시스</t>
        </is>
      </c>
      <c r="E343" t="inlineStr">
        <is>
          <t>박상욱</t>
        </is>
      </c>
      <c r="F343" t="inlineStr">
        <is>
          <t>경기도 '수소융합 테마도시' 조성…수소경제 선도</t>
        </is>
      </c>
      <c r="G343" s="2">
        <f>HYPERLINK("http://www.newsis.com/view/?id=NISX20210505_0001430683&amp;cID=10803&amp;pID=14000", "Go to Website")</f>
        <v/>
      </c>
      <c r="H343" t="inlineStr"/>
      <c r="I343" t="inlineStr">
        <is>
          <t>R90</t>
        </is>
      </c>
      <c r="J343" s="3" t="n">
        <v>0.651</v>
      </c>
      <c r="K343" t="inlineStr">
        <is>
          <t>창작, 예술 및 여가관련 서비스업</t>
        </is>
      </c>
      <c r="L343" t="inlineStr"/>
      <c r="M343" t="inlineStr"/>
      <c r="N343" t="inlineStr"/>
    </row>
    <row r="344">
      <c r="A344" s="1" t="inlineStr">
        <is>
          <t>2021-05-05</t>
        </is>
      </c>
      <c r="B344" t="inlineStr">
        <is>
          <t>news</t>
        </is>
      </c>
      <c r="C344" t="inlineStr">
        <is>
          <t>economy</t>
        </is>
      </c>
      <c r="D344" t="inlineStr">
        <is>
          <t>서울경제</t>
        </is>
      </c>
      <c r="E344" t="inlineStr">
        <is>
          <t>서종갑</t>
        </is>
      </c>
      <c r="F344" t="inlineStr">
        <is>
          <t>9월 수소모빌리티+쇼에 현대차·포스코 등 ‘K수소 어벤져스’ 총출동</t>
        </is>
      </c>
      <c r="G344" s="2">
        <f>HYPERLINK("https://www.sedaily.com/NewsView/22M8QLUYLR", "Go to Website")</f>
        <v/>
      </c>
      <c r="H344" t="inlineStr"/>
      <c r="I344" t="inlineStr">
        <is>
          <t>100</t>
        </is>
      </c>
      <c r="J344" s="3" t="n">
        <v>0.591</v>
      </c>
      <c r="K344" t="inlineStr">
        <is>
          <t>분류 제외, 기타</t>
        </is>
      </c>
      <c r="L344" t="inlineStr"/>
      <c r="M344" t="inlineStr"/>
      <c r="N344" t="inlineStr"/>
    </row>
    <row r="345">
      <c r="A345" s="1" t="inlineStr">
        <is>
          <t>2021-05-05</t>
        </is>
      </c>
      <c r="B345" t="inlineStr">
        <is>
          <t>news</t>
        </is>
      </c>
      <c r="C345" t="inlineStr">
        <is>
          <t>economy</t>
        </is>
      </c>
      <c r="D345" t="inlineStr">
        <is>
          <t>연합뉴스</t>
        </is>
      </c>
      <c r="E345" t="inlineStr">
        <is>
          <t>권희원</t>
        </is>
      </c>
      <c r="F345" t="inlineStr">
        <is>
          <t>9월 수소모빌리티+쇼에 현대차·포스코 등 국내외 대기업 참가</t>
        </is>
      </c>
      <c r="G345" s="2">
        <f>HYPERLINK("http://yna.kr/AKR20210505025100003?did=1195m", "Go to Website")</f>
        <v/>
      </c>
      <c r="H345" t="inlineStr"/>
      <c r="I345" t="inlineStr">
        <is>
          <t>R90</t>
        </is>
      </c>
      <c r="J345" s="3" t="n">
        <v>0.641</v>
      </c>
      <c r="K345" t="inlineStr">
        <is>
          <t>창작, 예술 및 여가관련 서비스업</t>
        </is>
      </c>
      <c r="L345" t="inlineStr"/>
      <c r="M345" t="inlineStr"/>
      <c r="N345" t="inlineStr"/>
    </row>
    <row r="346">
      <c r="A346" s="1" t="inlineStr">
        <is>
          <t>2021-05-05</t>
        </is>
      </c>
      <c r="B346" t="inlineStr">
        <is>
          <t>news</t>
        </is>
      </c>
      <c r="C346" t="inlineStr">
        <is>
          <t>economy</t>
        </is>
      </c>
      <c r="D346" t="inlineStr">
        <is>
          <t>아시아경제</t>
        </is>
      </c>
      <c r="E346" t="inlineStr">
        <is>
          <t>이창환</t>
        </is>
      </c>
      <c r="F346" t="inlineStr">
        <is>
          <t>수소차 시장 왕좌 놓고 현대차-토요타 경쟁 치열</t>
        </is>
      </c>
      <c r="G346" s="2">
        <f>HYPERLINK("https://view.asiae.co.kr/article/2021050508591847703", "Go to Website")</f>
        <v/>
      </c>
      <c r="H346" t="inlineStr"/>
      <c r="I346" t="inlineStr">
        <is>
          <t>100</t>
        </is>
      </c>
      <c r="J346" s="3" t="n">
        <v>0.649</v>
      </c>
      <c r="K346" t="inlineStr">
        <is>
          <t>분류 제외, 기타</t>
        </is>
      </c>
      <c r="L346" t="inlineStr">
        <is>
          <t>0</t>
        </is>
      </c>
      <c r="M346" s="3" t="n">
        <v>0.647</v>
      </c>
      <c r="N346" t="inlineStr">
        <is>
          <t>중립</t>
        </is>
      </c>
    </row>
    <row r="347">
      <c r="A347" s="1" t="inlineStr">
        <is>
          <t>2021-05-05</t>
        </is>
      </c>
      <c r="B347" t="inlineStr">
        <is>
          <t>news</t>
        </is>
      </c>
      <c r="C347" t="inlineStr">
        <is>
          <t>economy</t>
        </is>
      </c>
      <c r="D347" t="inlineStr">
        <is>
          <t>KBS</t>
        </is>
      </c>
      <c r="E347" t="inlineStr">
        <is>
          <t>서승신</t>
        </is>
      </c>
      <c r="F347" t="inlineStr">
        <is>
          <t>최악의 상용차 판매 가뭄…현대차 노사가 함께 신차 설명회</t>
        </is>
      </c>
      <c r="G347" s="2">
        <f>HYPERLINK("https://news.kbs.co.kr/news/view.do?ncd=5178500&amp;ref=A", "Go to Website")</f>
        <v/>
      </c>
      <c r="H347" t="inlineStr"/>
      <c r="I347" t="inlineStr">
        <is>
          <t>C30</t>
        </is>
      </c>
      <c r="J347" s="3" t="n">
        <v>1</v>
      </c>
      <c r="K347" t="inlineStr">
        <is>
          <t>자동차 및 트레일러 제조업</t>
        </is>
      </c>
      <c r="L347" t="inlineStr">
        <is>
          <t>0</t>
        </is>
      </c>
      <c r="M347" s="3" t="n">
        <v>0.881</v>
      </c>
      <c r="N347" t="inlineStr">
        <is>
          <t>중립</t>
        </is>
      </c>
    </row>
    <row r="348">
      <c r="A348" s="1" t="inlineStr">
        <is>
          <t>2021-05-05</t>
        </is>
      </c>
      <c r="B348" t="inlineStr">
        <is>
          <t>news</t>
        </is>
      </c>
      <c r="C348" t="inlineStr">
        <is>
          <t>economy</t>
        </is>
      </c>
      <c r="D348" t="inlineStr">
        <is>
          <t>뉴스1</t>
        </is>
      </c>
      <c r="E348" t="inlineStr">
        <is>
          <t>김희준</t>
        </is>
      </c>
      <c r="F348" t="inlineStr">
        <is>
          <t>[김희준의 교통돋보기]'가덕도·김부선·택배' 국토부 장관이 챙겨야할 것들</t>
        </is>
      </c>
      <c r="G348" s="2">
        <f>HYPERLINK("https://www.news1.kr/articles/?4296728", "Go to Website")</f>
        <v/>
      </c>
      <c r="H348" t="inlineStr"/>
      <c r="I348" t="inlineStr">
        <is>
          <t>F41</t>
        </is>
      </c>
      <c r="J348" s="3" t="n">
        <v>0.821</v>
      </c>
      <c r="K348" t="inlineStr">
        <is>
          <t>종합 건설업</t>
        </is>
      </c>
      <c r="L348" t="inlineStr"/>
      <c r="M348" t="inlineStr"/>
      <c r="N348" t="inlineStr"/>
    </row>
    <row r="349">
      <c r="A349" s="1" t="inlineStr">
        <is>
          <t>2021-05-05</t>
        </is>
      </c>
      <c r="B349" t="inlineStr">
        <is>
          <t>news</t>
        </is>
      </c>
      <c r="C349" t="inlineStr">
        <is>
          <t>economy</t>
        </is>
      </c>
      <c r="D349" t="inlineStr">
        <is>
          <t>연합뉴스</t>
        </is>
      </c>
      <c r="E349" t="inlineStr">
        <is>
          <t>이우성</t>
        </is>
      </c>
      <c r="F349" t="inlineStr">
        <is>
          <t>경기 수소생태계 지원시설 하반기부터 잇달아 문연다</t>
        </is>
      </c>
      <c r="G349" s="2">
        <f>HYPERLINK("http://yna.kr/AKR20210504155300061?did=1195m", "Go to Website")</f>
        <v/>
      </c>
      <c r="H349" t="inlineStr"/>
      <c r="I349" t="inlineStr">
        <is>
          <t>100</t>
        </is>
      </c>
      <c r="J349" s="3" t="n">
        <v>0.221</v>
      </c>
      <c r="K349" t="inlineStr">
        <is>
          <t>분류 제외, 기타</t>
        </is>
      </c>
      <c r="L349" t="inlineStr"/>
      <c r="M349" t="inlineStr"/>
      <c r="N349" t="inlineStr"/>
    </row>
    <row r="350">
      <c r="A350" s="1" t="inlineStr">
        <is>
          <t>2021-05-05</t>
        </is>
      </c>
      <c r="B350" t="inlineStr">
        <is>
          <t>news</t>
        </is>
      </c>
      <c r="C350" t="inlineStr">
        <is>
          <t>economy</t>
        </is>
      </c>
      <c r="D350" t="inlineStr">
        <is>
          <t>중앙일보</t>
        </is>
      </c>
      <c r="E350" t="inlineStr">
        <is>
          <t>김경미</t>
        </is>
      </c>
      <c r="F350" t="inlineStr">
        <is>
          <t>효성 ‘소재 3형제’ 날았다…‘조현준 체제’ 5년만에 결실</t>
        </is>
      </c>
      <c r="G350" s="2">
        <f>HYPERLINK("https://news.joins.com/article/olink/23645130", "Go to Website")</f>
        <v/>
      </c>
      <c r="H350" t="inlineStr"/>
      <c r="I350" t="inlineStr">
        <is>
          <t>C20</t>
        </is>
      </c>
      <c r="J350" s="3" t="n">
        <v>1</v>
      </c>
      <c r="K350" t="inlineStr">
        <is>
          <t>화학 물질 및 화학제품 제조업; 의약품 제외</t>
        </is>
      </c>
      <c r="L350" t="inlineStr">
        <is>
          <t>1</t>
        </is>
      </c>
      <c r="M350" s="3" t="n">
        <v>0.985</v>
      </c>
      <c r="N350" t="inlineStr">
        <is>
          <t>긍정</t>
        </is>
      </c>
    </row>
    <row r="351">
      <c r="A351" s="1" t="inlineStr">
        <is>
          <t>2021-05-05</t>
        </is>
      </c>
      <c r="B351" t="inlineStr">
        <is>
          <t>news</t>
        </is>
      </c>
      <c r="C351" t="inlineStr">
        <is>
          <t>economy</t>
        </is>
      </c>
      <c r="D351" t="inlineStr">
        <is>
          <t>데일리안</t>
        </is>
      </c>
      <c r="E351" t="inlineStr">
        <is>
          <t>유준상</t>
        </is>
      </c>
      <c r="F351" t="inlineStr">
        <is>
          <t>[ESG공기업⑥] "수소 안전 내게 맡겨라"…가스안전공사, ESG 승부수 띄웠다</t>
        </is>
      </c>
      <c r="G351" s="2">
        <f>HYPERLINK("https://www.dailian.co.kr/news/view/988473/", "Go to Website")</f>
        <v/>
      </c>
      <c r="H351" t="inlineStr"/>
      <c r="I351" t="inlineStr">
        <is>
          <t>K64</t>
        </is>
      </c>
      <c r="J351" s="3" t="n">
        <v>0.556</v>
      </c>
      <c r="K351" t="inlineStr">
        <is>
          <t>금융업</t>
        </is>
      </c>
      <c r="L351" t="inlineStr"/>
      <c r="M351" t="inlineStr"/>
      <c r="N351" t="inlineStr"/>
    </row>
    <row r="352">
      <c r="A352" s="1" t="inlineStr">
        <is>
          <t>2021-05-04</t>
        </is>
      </c>
      <c r="B352" t="inlineStr">
        <is>
          <t>news</t>
        </is>
      </c>
      <c r="C352" t="inlineStr">
        <is>
          <t>economy</t>
        </is>
      </c>
      <c r="D352" t="inlineStr">
        <is>
          <t>KBS</t>
        </is>
      </c>
      <c r="E352" t="inlineStr">
        <is>
          <t>서승신</t>
        </is>
      </c>
      <c r="F352" t="inlineStr">
        <is>
          <t>최악의 상용차 판매 가뭄…현대차 노사가 함께 신차 설명회</t>
        </is>
      </c>
      <c r="G352" s="2">
        <f>HYPERLINK("https://news.kbs.co.kr/news/view.do?ncd=5178303&amp;ref=A", "Go to Website")</f>
        <v/>
      </c>
      <c r="H352" t="inlineStr"/>
      <c r="I352" t="inlineStr">
        <is>
          <t>C30</t>
        </is>
      </c>
      <c r="J352" s="3" t="n">
        <v>1</v>
      </c>
      <c r="K352" t="inlineStr">
        <is>
          <t>자동차 및 트레일러 제조업</t>
        </is>
      </c>
      <c r="L352" t="inlineStr">
        <is>
          <t>0</t>
        </is>
      </c>
      <c r="M352" s="3" t="n">
        <v>0.881</v>
      </c>
      <c r="N352" t="inlineStr">
        <is>
          <t>중립</t>
        </is>
      </c>
    </row>
    <row r="353">
      <c r="A353" s="1" t="inlineStr">
        <is>
          <t>2021-05-04</t>
        </is>
      </c>
      <c r="B353" t="inlineStr">
        <is>
          <t>news</t>
        </is>
      </c>
      <c r="C353" t="inlineStr">
        <is>
          <t>economy</t>
        </is>
      </c>
      <c r="D353" t="inlineStr">
        <is>
          <t>KBS</t>
        </is>
      </c>
      <c r="E353" t="inlineStr">
        <is>
          <t>서승신</t>
        </is>
      </c>
      <c r="F353" t="inlineStr">
        <is>
          <t>최악의 상용차 판매 가뭄…현대차 노사가 함께 신차 설명회</t>
        </is>
      </c>
      <c r="G353" s="2">
        <f>HYPERLINK("https://news.kbs.co.kr/news/view.do?ncd=5178072&amp;ref=A", "Go to Website")</f>
        <v/>
      </c>
      <c r="H353" t="inlineStr"/>
      <c r="I353" t="inlineStr">
        <is>
          <t>C30</t>
        </is>
      </c>
      <c r="J353" s="3" t="n">
        <v>1</v>
      </c>
      <c r="K353" t="inlineStr">
        <is>
          <t>자동차 및 트레일러 제조업</t>
        </is>
      </c>
      <c r="L353" t="inlineStr">
        <is>
          <t>0</t>
        </is>
      </c>
      <c r="M353" s="3" t="n">
        <v>0.881</v>
      </c>
      <c r="N353" t="inlineStr">
        <is>
          <t>중립</t>
        </is>
      </c>
    </row>
    <row r="354">
      <c r="A354" s="1" t="inlineStr">
        <is>
          <t>2021-05-04</t>
        </is>
      </c>
      <c r="B354" t="inlineStr">
        <is>
          <t>news</t>
        </is>
      </c>
      <c r="C354" t="inlineStr">
        <is>
          <t>economy</t>
        </is>
      </c>
      <c r="D354" t="inlineStr">
        <is>
          <t>부산일보</t>
        </is>
      </c>
      <c r="E354" t="inlineStr">
        <is>
          <t>배동진</t>
        </is>
      </c>
      <c r="F354" t="inlineStr">
        <is>
          <t>부산, 수소전기차 1070대에 충전소는 달랑 2곳</t>
        </is>
      </c>
      <c r="G354" s="2">
        <f>HYPERLINK("http://www.busan.com/view/busan/view.php?code=2021050419064787470", "Go to Website")</f>
        <v/>
      </c>
      <c r="H354" t="inlineStr"/>
      <c r="I354" t="inlineStr">
        <is>
          <t>C15</t>
        </is>
      </c>
      <c r="J354" s="3" t="n">
        <v>0.955</v>
      </c>
      <c r="K354" t="inlineStr">
        <is>
          <t>가죽, 가방 및 신발 제조업</t>
        </is>
      </c>
      <c r="L354" t="inlineStr"/>
      <c r="M354" t="inlineStr"/>
      <c r="N354" t="inlineStr"/>
    </row>
    <row r="355">
      <c r="A355" s="1" t="inlineStr">
        <is>
          <t>2021-05-04</t>
        </is>
      </c>
      <c r="B355" t="inlineStr">
        <is>
          <t>news</t>
        </is>
      </c>
      <c r="C355" t="inlineStr">
        <is>
          <t>tech</t>
        </is>
      </c>
      <c r="D355" t="inlineStr">
        <is>
          <t>블로터</t>
        </is>
      </c>
      <c r="E355" t="inlineStr">
        <is>
          <t>구태우</t>
        </is>
      </c>
      <c r="F355" t="inlineStr">
        <is>
          <t>[넘버스]넥쏘, 토요타 '미라이'에 추월...현대차, 수소차 고집할까①</t>
        </is>
      </c>
      <c r="G355" s="2">
        <f>HYPERLINK("http://www.bloter.net/newsView/blt202105040014", "Go to Website")</f>
        <v/>
      </c>
      <c r="H355" t="inlineStr"/>
      <c r="I355" t="inlineStr"/>
      <c r="J355" t="inlineStr"/>
      <c r="K355" t="inlineStr"/>
      <c r="L355" t="inlineStr"/>
      <c r="M355" t="inlineStr"/>
      <c r="N355" t="inlineStr"/>
    </row>
    <row r="356">
      <c r="A356" s="1" t="inlineStr">
        <is>
          <t>2021-05-04</t>
        </is>
      </c>
      <c r="B356" t="inlineStr">
        <is>
          <t>news</t>
        </is>
      </c>
      <c r="C356" t="inlineStr">
        <is>
          <t>economy</t>
        </is>
      </c>
      <c r="D356" t="inlineStr">
        <is>
          <t>뉴스1</t>
        </is>
      </c>
      <c r="E356" t="inlineStr">
        <is>
          <t>김동규</t>
        </is>
      </c>
      <c r="F356" t="inlineStr">
        <is>
          <t>현대車 전주공장 "노사 힘 모아 판매 가뭄 넘는다"</t>
        </is>
      </c>
      <c r="G356" s="2">
        <f>HYPERLINK("https://www.news1.kr/articles/?4296530", "Go to Website")</f>
        <v/>
      </c>
      <c r="H356" t="inlineStr"/>
      <c r="I356" t="inlineStr">
        <is>
          <t>H50</t>
        </is>
      </c>
      <c r="J356" s="3" t="n">
        <v>0.796</v>
      </c>
      <c r="K356" t="inlineStr">
        <is>
          <t>수상 운송업</t>
        </is>
      </c>
      <c r="L356" t="inlineStr">
        <is>
          <t>1</t>
        </is>
      </c>
      <c r="M356" s="3" t="n">
        <v>0.88</v>
      </c>
      <c r="N356" t="inlineStr">
        <is>
          <t>긍정</t>
        </is>
      </c>
    </row>
    <row r="357">
      <c r="A357" s="1" t="inlineStr">
        <is>
          <t>2021-05-04</t>
        </is>
      </c>
      <c r="B357" t="inlineStr">
        <is>
          <t>news</t>
        </is>
      </c>
      <c r="C357" t="inlineStr">
        <is>
          <t>tech</t>
        </is>
      </c>
      <c r="D357" t="inlineStr">
        <is>
          <t>디지털데일리</t>
        </is>
      </c>
      <c r="E357" t="inlineStr">
        <is>
          <t>강민혜</t>
        </is>
      </c>
      <c r="F357" t="inlineStr">
        <is>
          <t>'조현준'식 ESG 경영 본격화… 효성 각 계열사 '친환경' 전환 ↑</t>
        </is>
      </c>
      <c r="G357" s="2">
        <f>HYPERLINK("http://www.ddaily.co.kr/news/article.html?no=213645", "Go to Website")</f>
        <v/>
      </c>
      <c r="H357" t="inlineStr"/>
      <c r="I357" t="inlineStr"/>
      <c r="J357" t="inlineStr"/>
      <c r="K357" t="inlineStr"/>
      <c r="L357" t="inlineStr"/>
      <c r="M357" t="inlineStr"/>
      <c r="N357" t="inlineStr"/>
    </row>
    <row r="358">
      <c r="A358" s="1" t="inlineStr">
        <is>
          <t>2021-05-04</t>
        </is>
      </c>
      <c r="B358" t="inlineStr">
        <is>
          <t>news</t>
        </is>
      </c>
      <c r="C358" t="inlineStr">
        <is>
          <t>economy</t>
        </is>
      </c>
      <c r="D358" t="inlineStr">
        <is>
          <t>경향신문</t>
        </is>
      </c>
      <c r="E358" t="inlineStr">
        <is>
          <t>이호준</t>
        </is>
      </c>
      <c r="F358" t="inlineStr">
        <is>
          <t>그린벨트 내 친환경 차 충전소 설치 확대</t>
        </is>
      </c>
      <c r="G358" s="2">
        <f>HYPERLINK("http://news.khan.co.kr/kh_news/khan_art_view.html?artid=202105041535001&amp;code=920100", "Go to Website")</f>
        <v/>
      </c>
      <c r="H358" t="inlineStr"/>
      <c r="I358" t="inlineStr">
        <is>
          <t>L68</t>
        </is>
      </c>
      <c r="J358" s="3" t="n">
        <v>1</v>
      </c>
      <c r="K358" t="inlineStr">
        <is>
          <t>부동산업</t>
        </is>
      </c>
      <c r="L358" t="inlineStr"/>
      <c r="M358" t="inlineStr"/>
      <c r="N358" t="inlineStr"/>
    </row>
    <row r="359">
      <c r="A359" s="1" t="inlineStr">
        <is>
          <t>2021-05-04</t>
        </is>
      </c>
      <c r="B359" t="inlineStr">
        <is>
          <t>news</t>
        </is>
      </c>
      <c r="C359" t="inlineStr">
        <is>
          <t>economy</t>
        </is>
      </c>
      <c r="D359" t="inlineStr">
        <is>
          <t>연합뉴스</t>
        </is>
      </c>
      <c r="E359" t="inlineStr">
        <is>
          <t>최해민</t>
        </is>
      </c>
      <c r="F359" t="inlineStr">
        <is>
          <t>오산시, 수소충전소 건립 추진…2022년 말 준공 목표</t>
        </is>
      </c>
      <c r="G359" s="2">
        <f>HYPERLINK("http://yna.kr/AKR20210504111600061?did=1195m", "Go to Website")</f>
        <v/>
      </c>
      <c r="H359" t="inlineStr"/>
      <c r="I359" t="inlineStr">
        <is>
          <t>C29</t>
        </is>
      </c>
      <c r="J359" s="3" t="n">
        <v>0.835</v>
      </c>
      <c r="K359" t="inlineStr">
        <is>
          <t>기타 기계 및 장비 제조업</t>
        </is>
      </c>
      <c r="L359" t="inlineStr"/>
      <c r="M359" t="inlineStr"/>
      <c r="N359" t="inlineStr"/>
    </row>
    <row r="360">
      <c r="A360" s="1" t="inlineStr">
        <is>
          <t>2021-05-04</t>
        </is>
      </c>
      <c r="B360" t="inlineStr">
        <is>
          <t>news</t>
        </is>
      </c>
      <c r="C360" t="inlineStr">
        <is>
          <t>economy</t>
        </is>
      </c>
      <c r="D360" t="inlineStr">
        <is>
          <t>뉴시스</t>
        </is>
      </c>
      <c r="E360" t="inlineStr">
        <is>
          <t>박주연</t>
        </is>
      </c>
      <c r="F360" t="inlineStr">
        <is>
          <t>현대차 1분기 세계 수소차 판매량, 토요타에 밀려 2위</t>
        </is>
      </c>
      <c r="G360" s="2">
        <f>HYPERLINK("http://www.newsis.com/view/?id=NISX20210504_0001430012&amp;cID=13001&amp;pID=13000", "Go to Website")</f>
        <v/>
      </c>
      <c r="H360" t="inlineStr"/>
      <c r="I360" t="inlineStr">
        <is>
          <t>C30</t>
        </is>
      </c>
      <c r="J360" s="3" t="n">
        <v>0.992</v>
      </c>
      <c r="K360" t="inlineStr">
        <is>
          <t>자동차 및 트레일러 제조업</t>
        </is>
      </c>
      <c r="L360" t="inlineStr">
        <is>
          <t>1</t>
        </is>
      </c>
      <c r="M360" s="3" t="n">
        <v>0.96</v>
      </c>
      <c r="N360" t="inlineStr">
        <is>
          <t>긍정</t>
        </is>
      </c>
    </row>
    <row r="361">
      <c r="A361" s="1" t="inlineStr">
        <is>
          <t>2021-05-04</t>
        </is>
      </c>
      <c r="B361" t="inlineStr">
        <is>
          <t>news</t>
        </is>
      </c>
      <c r="C361" t="inlineStr">
        <is>
          <t>economy</t>
        </is>
      </c>
      <c r="D361" t="inlineStr">
        <is>
          <t>서울경제</t>
        </is>
      </c>
      <c r="E361" t="inlineStr"/>
      <c r="F361" t="inlineStr">
        <is>
          <t>日 수소차 공습···현대차, 1분기 점유율 1위 자리 내줬다</t>
        </is>
      </c>
      <c r="G361" s="2">
        <f>HYPERLINK("https://www.sedaily.com/NewsView/22M8BA7FJM", "Go to Website")</f>
        <v/>
      </c>
      <c r="H361" t="inlineStr"/>
      <c r="I361" t="inlineStr">
        <is>
          <t>C30</t>
        </is>
      </c>
      <c r="J361" s="3" t="n">
        <v>0.998</v>
      </c>
      <c r="K361" t="inlineStr">
        <is>
          <t>자동차 및 트레일러 제조업</t>
        </is>
      </c>
      <c r="L361" t="inlineStr">
        <is>
          <t>1</t>
        </is>
      </c>
      <c r="M361" s="3" t="n">
        <v>0.637</v>
      </c>
      <c r="N361" t="inlineStr">
        <is>
          <t>긍정</t>
        </is>
      </c>
    </row>
    <row r="362">
      <c r="A362" s="1" t="inlineStr">
        <is>
          <t>2021-05-04</t>
        </is>
      </c>
      <c r="B362" t="inlineStr">
        <is>
          <t>news</t>
        </is>
      </c>
      <c r="C362" t="inlineStr">
        <is>
          <t>economy</t>
        </is>
      </c>
      <c r="D362" t="inlineStr">
        <is>
          <t>이데일리</t>
        </is>
      </c>
      <c r="E362" t="inlineStr">
        <is>
          <t>성주원</t>
        </is>
      </c>
      <c r="F362" t="inlineStr">
        <is>
          <t>효성 `소재 3총사`, 2Q도 호실적 예고…목표주가 줄상향</t>
        </is>
      </c>
      <c r="G362" s="2">
        <f>HYPERLINK("http://www.edaily.co.kr/news/newspath.asp?newsid=03043846629045640", "Go to Website")</f>
        <v/>
      </c>
      <c r="H362" t="inlineStr"/>
      <c r="I362" t="inlineStr">
        <is>
          <t>C20</t>
        </is>
      </c>
      <c r="J362" s="3" t="n">
        <v>1</v>
      </c>
      <c r="K362" t="inlineStr">
        <is>
          <t>화학 물질 및 화학제품 제조업; 의약품 제외</t>
        </is>
      </c>
      <c r="L362" t="inlineStr">
        <is>
          <t>1</t>
        </is>
      </c>
      <c r="M362" s="3" t="n">
        <v>0.999</v>
      </c>
      <c r="N362" t="inlineStr">
        <is>
          <t>긍정</t>
        </is>
      </c>
    </row>
    <row r="363">
      <c r="A363" s="1" t="inlineStr">
        <is>
          <t>2021-05-04</t>
        </is>
      </c>
      <c r="B363" t="inlineStr">
        <is>
          <t>news</t>
        </is>
      </c>
      <c r="C363" t="inlineStr">
        <is>
          <t>economy</t>
        </is>
      </c>
      <c r="D363" t="inlineStr">
        <is>
          <t>TV조선</t>
        </is>
      </c>
      <c r="E363" t="inlineStr">
        <is>
          <t>박상현</t>
        </is>
      </c>
      <c r="F363" t="inlineStr">
        <is>
          <t>현대차, 1분기 전세계 수소차 판매 도요타에 밀려</t>
        </is>
      </c>
      <c r="G363" s="2">
        <f>HYPERLINK("http://news.tvchosun.com/site/data/html_dir/2021/05/04/2021050490076.html", "Go to Website")</f>
        <v/>
      </c>
      <c r="H363" t="inlineStr"/>
      <c r="I363" t="inlineStr">
        <is>
          <t>C30</t>
        </is>
      </c>
      <c r="J363" s="3" t="n">
        <v>1</v>
      </c>
      <c r="K363" t="inlineStr">
        <is>
          <t>자동차 및 트레일러 제조업</t>
        </is>
      </c>
      <c r="L363" t="inlineStr">
        <is>
          <t>-1</t>
        </is>
      </c>
      <c r="M363" s="3" t="n">
        <v>0.706</v>
      </c>
      <c r="N363" t="inlineStr">
        <is>
          <t>부정</t>
        </is>
      </c>
    </row>
    <row r="364">
      <c r="A364" s="1" t="inlineStr">
        <is>
          <t>2021-05-04</t>
        </is>
      </c>
      <c r="B364" t="inlineStr">
        <is>
          <t>news</t>
        </is>
      </c>
      <c r="C364" t="inlineStr">
        <is>
          <t>economy</t>
        </is>
      </c>
      <c r="D364" t="inlineStr">
        <is>
          <t>조선비즈</t>
        </is>
      </c>
      <c r="E364" t="inlineStr">
        <is>
          <t>박정엽</t>
        </is>
      </c>
      <c r="F364" t="inlineStr">
        <is>
          <t>그린벨트 택시·버스 차고지에 수소·전기충전소 설치 허용</t>
        </is>
      </c>
      <c r="G364" s="2">
        <f>HYPERLINK("https://biz.chosun.com/policy/policy_sub/2021/05/04/KGEHATI5YRCSZAYAKS3QIXKLIM/?utm_medium=original&amp;utm_campaign=biz", "Go to Website")</f>
        <v/>
      </c>
      <c r="H364" t="inlineStr"/>
      <c r="I364" t="inlineStr">
        <is>
          <t>L68</t>
        </is>
      </c>
      <c r="J364" s="3" t="n">
        <v>1</v>
      </c>
      <c r="K364" t="inlineStr">
        <is>
          <t>부동산업</t>
        </is>
      </c>
      <c r="L364" t="inlineStr"/>
      <c r="M364" t="inlineStr"/>
      <c r="N364" t="inlineStr"/>
    </row>
    <row r="365">
      <c r="A365" s="1" t="inlineStr">
        <is>
          <t>2021-05-04</t>
        </is>
      </c>
      <c r="B365" t="inlineStr">
        <is>
          <t>news</t>
        </is>
      </c>
      <c r="C365" t="inlineStr">
        <is>
          <t>economy</t>
        </is>
      </c>
      <c r="D365" t="inlineStr">
        <is>
          <t>부산일보</t>
        </is>
      </c>
      <c r="E365" t="inlineStr">
        <is>
          <t>김덕준</t>
        </is>
      </c>
      <c r="F365" t="inlineStr">
        <is>
          <t>그린벨트내 택시·전세버스·화물차 차고지에 수소·전기차 충전소 허용</t>
        </is>
      </c>
      <c r="G365" s="2">
        <f>HYPERLINK("http://www.busan.com/view/busan/view.php?code=2021050412240527022", "Go to Website")</f>
        <v/>
      </c>
      <c r="H365" t="inlineStr"/>
      <c r="I365" t="inlineStr">
        <is>
          <t>L68</t>
        </is>
      </c>
      <c r="J365" s="3" t="n">
        <v>0.982</v>
      </c>
      <c r="K365" t="inlineStr">
        <is>
          <t>부동산업</t>
        </is>
      </c>
      <c r="L365" t="inlineStr"/>
      <c r="M365" t="inlineStr"/>
      <c r="N365" t="inlineStr"/>
    </row>
    <row r="366">
      <c r="A366" s="1" t="inlineStr">
        <is>
          <t>2021-05-04</t>
        </is>
      </c>
      <c r="B366" t="inlineStr">
        <is>
          <t>news</t>
        </is>
      </c>
      <c r="C366" t="inlineStr">
        <is>
          <t>economy</t>
        </is>
      </c>
      <c r="D366" t="inlineStr">
        <is>
          <t>연합뉴스</t>
        </is>
      </c>
      <c r="E366" t="inlineStr">
        <is>
          <t>최평천</t>
        </is>
      </c>
      <c r="F366" t="inlineStr">
        <is>
          <t>현대차, 1분기 전세계 수소차 판매 도요타에 밀려 2위</t>
        </is>
      </c>
      <c r="G366" s="2">
        <f>HYPERLINK("http://yna.kr/AKR20210504082800003?did=1195m", "Go to Website")</f>
        <v/>
      </c>
      <c r="H366" t="inlineStr"/>
      <c r="I366" t="inlineStr">
        <is>
          <t>C30</t>
        </is>
      </c>
      <c r="J366" s="3" t="n">
        <v>0.999</v>
      </c>
      <c r="K366" t="inlineStr">
        <is>
          <t>자동차 및 트레일러 제조업</t>
        </is>
      </c>
      <c r="L366" t="inlineStr">
        <is>
          <t>1</t>
        </is>
      </c>
      <c r="M366" s="3" t="n">
        <v>0.8</v>
      </c>
      <c r="N366" t="inlineStr">
        <is>
          <t>긍정</t>
        </is>
      </c>
    </row>
    <row r="367">
      <c r="A367" s="1" t="inlineStr">
        <is>
          <t>2021-05-04</t>
        </is>
      </c>
      <c r="B367" t="inlineStr">
        <is>
          <t>news</t>
        </is>
      </c>
      <c r="C367" t="inlineStr">
        <is>
          <t>economy</t>
        </is>
      </c>
      <c r="D367" t="inlineStr">
        <is>
          <t>문화일보</t>
        </is>
      </c>
      <c r="E367" t="inlineStr">
        <is>
          <t>박정민</t>
        </is>
      </c>
      <c r="F367" t="inlineStr">
        <is>
          <t>수소·전기차 충전소, 그린벨트에도 설치 가능</t>
        </is>
      </c>
      <c r="G367" s="2">
        <f>HYPERLINK("http://www.munhwa.com/news/view.html?no=2021050401072321087002", "Go to Website")</f>
        <v/>
      </c>
      <c r="H367" t="inlineStr"/>
      <c r="I367" t="inlineStr">
        <is>
          <t>L68</t>
        </is>
      </c>
      <c r="J367" s="3" t="n">
        <v>0.792</v>
      </c>
      <c r="K367" t="inlineStr">
        <is>
          <t>부동산업</t>
        </is>
      </c>
      <c r="L367" t="inlineStr"/>
      <c r="M367" t="inlineStr"/>
      <c r="N367" t="inlineStr"/>
    </row>
    <row r="368">
      <c r="A368" s="1" t="inlineStr">
        <is>
          <t>2021-05-04</t>
        </is>
      </c>
      <c r="B368" t="inlineStr">
        <is>
          <t>news</t>
        </is>
      </c>
      <c r="C368" t="inlineStr">
        <is>
          <t>economy</t>
        </is>
      </c>
      <c r="D368" t="inlineStr">
        <is>
          <t>헤럴드경제</t>
        </is>
      </c>
      <c r="E368" t="inlineStr">
        <is>
          <t>김현일</t>
        </is>
      </c>
      <c r="F368" t="inlineStr">
        <is>
          <t>수소차 판매...한국, 일본에 뒤처졌다</t>
        </is>
      </c>
      <c r="G368" s="2">
        <f>HYPERLINK("http://news.heraldcorp.com/view.php?ud=20210504000641", "Go to Website")</f>
        <v/>
      </c>
      <c r="H368" t="inlineStr"/>
      <c r="I368" t="inlineStr">
        <is>
          <t>C30</t>
        </is>
      </c>
      <c r="J368" s="3" t="n">
        <v>0.661</v>
      </c>
      <c r="K368" t="inlineStr">
        <is>
          <t>자동차 및 트레일러 제조업</t>
        </is>
      </c>
      <c r="L368" t="inlineStr">
        <is>
          <t>0</t>
        </is>
      </c>
      <c r="M368" s="3" t="n">
        <v>0.782</v>
      </c>
      <c r="N368" t="inlineStr">
        <is>
          <t>중립</t>
        </is>
      </c>
    </row>
    <row r="369">
      <c r="A369" s="1" t="inlineStr">
        <is>
          <t>2021-05-04</t>
        </is>
      </c>
      <c r="B369" t="inlineStr">
        <is>
          <t>news</t>
        </is>
      </c>
      <c r="C369" t="inlineStr">
        <is>
          <t>economy</t>
        </is>
      </c>
      <c r="D369" t="inlineStr">
        <is>
          <t>아시아경제</t>
        </is>
      </c>
      <c r="E369" t="inlineStr">
        <is>
          <t>유현석</t>
        </is>
      </c>
      <c r="F369" t="inlineStr">
        <is>
          <t>오성근 한양대 교수 "나노 기술, 사용처 무궁무진"</t>
        </is>
      </c>
      <c r="G369" s="2">
        <f>HYPERLINK("https://view.asiae.co.kr/article/2021050411382557617", "Go to Website")</f>
        <v/>
      </c>
      <c r="H369" t="inlineStr"/>
      <c r="I369" t="inlineStr">
        <is>
          <t>100</t>
        </is>
      </c>
      <c r="J369" s="3" t="n">
        <v>0.805</v>
      </c>
      <c r="K369" t="inlineStr">
        <is>
          <t>분류 제외, 기타</t>
        </is>
      </c>
      <c r="L369" t="inlineStr">
        <is>
          <t>0</t>
        </is>
      </c>
      <c r="M369" s="3" t="n">
        <v>0.988</v>
      </c>
      <c r="N369" t="inlineStr">
        <is>
          <t>중립</t>
        </is>
      </c>
    </row>
    <row r="370">
      <c r="A370" s="1" t="inlineStr">
        <is>
          <t>2021-05-04</t>
        </is>
      </c>
      <c r="B370" t="inlineStr">
        <is>
          <t>news</t>
        </is>
      </c>
      <c r="C370" t="inlineStr">
        <is>
          <t>economy</t>
        </is>
      </c>
      <c r="D370" t="inlineStr">
        <is>
          <t>서울신문</t>
        </is>
      </c>
      <c r="E370" t="inlineStr"/>
      <c r="F370" t="inlineStr">
        <is>
          <t>그린벨트에 수소차·전기차 충전소 설치 허용</t>
        </is>
      </c>
      <c r="G370" s="2">
        <f>HYPERLINK("https://www.seoul.co.kr/news/newsView.php?id=20210504500060", "Go to Website")</f>
        <v/>
      </c>
      <c r="H370" t="inlineStr"/>
      <c r="I370" t="inlineStr">
        <is>
          <t>A03</t>
        </is>
      </c>
      <c r="J370" s="3" t="n">
        <v>1</v>
      </c>
      <c r="K370" t="inlineStr">
        <is>
          <t>어업</t>
        </is>
      </c>
      <c r="L370" t="inlineStr"/>
      <c r="M370" t="inlineStr"/>
      <c r="N370" t="inlineStr"/>
    </row>
    <row r="371">
      <c r="A371" s="1" t="inlineStr">
        <is>
          <t>2021-05-04</t>
        </is>
      </c>
      <c r="B371" t="inlineStr">
        <is>
          <t>news</t>
        </is>
      </c>
      <c r="C371" t="inlineStr">
        <is>
          <t>economy</t>
        </is>
      </c>
      <c r="D371" t="inlineStr">
        <is>
          <t>아시아경제</t>
        </is>
      </c>
      <c r="E371" t="inlineStr">
        <is>
          <t>문제원</t>
        </is>
      </c>
      <c r="F371" t="inlineStr">
        <is>
          <t>그린벨트에 수소차·전기차 충전소 설치 확대</t>
        </is>
      </c>
      <c r="G371" s="2">
        <f>HYPERLINK("https://view.asiae.co.kr/article/2021050411061168669", "Go to Website")</f>
        <v/>
      </c>
      <c r="H371" t="inlineStr"/>
      <c r="I371" t="inlineStr">
        <is>
          <t>L68</t>
        </is>
      </c>
      <c r="J371" s="3" t="n">
        <v>0.951</v>
      </c>
      <c r="K371" t="inlineStr">
        <is>
          <t>부동산업</t>
        </is>
      </c>
      <c r="L371" t="inlineStr"/>
      <c r="M371" t="inlineStr"/>
      <c r="N371" t="inlineStr"/>
    </row>
    <row r="372">
      <c r="A372" s="1" t="inlineStr">
        <is>
          <t>2021-05-04</t>
        </is>
      </c>
      <c r="B372" t="inlineStr">
        <is>
          <t>news</t>
        </is>
      </c>
      <c r="C372" t="inlineStr">
        <is>
          <t>economy</t>
        </is>
      </c>
      <c r="D372" t="inlineStr">
        <is>
          <t>KBS</t>
        </is>
      </c>
      <c r="E372" t="inlineStr"/>
      <c r="F372" t="inlineStr">
        <is>
          <t>그린벨트에도 수소차·전기차 충전소 설치 허용</t>
        </is>
      </c>
      <c r="G372" s="2">
        <f>HYPERLINK("https://news.kbs.co.kr/news/view.do?ncd=5177792&amp;ref=A", "Go to Website")</f>
        <v/>
      </c>
      <c r="H372" t="inlineStr"/>
      <c r="I372" t="inlineStr">
        <is>
          <t>100</t>
        </is>
      </c>
      <c r="J372" s="3" t="n">
        <v>0.927</v>
      </c>
      <c r="K372" t="inlineStr">
        <is>
          <t>분류 제외, 기타</t>
        </is>
      </c>
      <c r="L372" t="inlineStr"/>
      <c r="M372" t="inlineStr"/>
      <c r="N372" t="inlineStr"/>
    </row>
    <row r="373">
      <c r="A373" s="1" t="inlineStr">
        <is>
          <t>2021-05-04</t>
        </is>
      </c>
      <c r="B373" t="inlineStr">
        <is>
          <t>news</t>
        </is>
      </c>
      <c r="C373" t="inlineStr">
        <is>
          <t>economy</t>
        </is>
      </c>
      <c r="D373" t="inlineStr">
        <is>
          <t>헤럴드경제</t>
        </is>
      </c>
      <c r="E373" t="inlineStr">
        <is>
          <t>민상식</t>
        </is>
      </c>
      <c r="F373" t="inlineStr">
        <is>
          <t>그린벨트 차고지에 수소·전기차 충전소 허용</t>
        </is>
      </c>
      <c r="G373" s="2">
        <f>HYPERLINK("http://news.heraldcorp.com/view.php?ud=20210504000351", "Go to Website")</f>
        <v/>
      </c>
      <c r="H373" t="inlineStr"/>
      <c r="I373" t="inlineStr">
        <is>
          <t>L68</t>
        </is>
      </c>
      <c r="J373" s="3" t="n">
        <v>1</v>
      </c>
      <c r="K373" t="inlineStr">
        <is>
          <t>부동산업</t>
        </is>
      </c>
      <c r="L373" t="inlineStr"/>
      <c r="M373" t="inlineStr"/>
      <c r="N373" t="inlineStr"/>
    </row>
    <row r="374">
      <c r="A374" s="1" t="inlineStr">
        <is>
          <t>2021-05-04</t>
        </is>
      </c>
      <c r="B374" t="inlineStr">
        <is>
          <t>news</t>
        </is>
      </c>
      <c r="C374" t="inlineStr">
        <is>
          <t>economy</t>
        </is>
      </c>
      <c r="D374" t="inlineStr">
        <is>
          <t>파이낸셜뉴스</t>
        </is>
      </c>
      <c r="E374" t="inlineStr">
        <is>
          <t>김서연</t>
        </is>
      </c>
      <c r="F374" t="inlineStr">
        <is>
          <t>GB내 수소·전기차 충전소 설치 허용된다</t>
        </is>
      </c>
      <c r="G374" s="2">
        <f>HYPERLINK("http://www.fnnews.com/news/202105041006078083", "Go to Website")</f>
        <v/>
      </c>
      <c r="H374" t="inlineStr"/>
      <c r="I374" t="inlineStr">
        <is>
          <t>100</t>
        </is>
      </c>
      <c r="J374" s="3" t="n">
        <v>0.661</v>
      </c>
      <c r="K374" t="inlineStr">
        <is>
          <t>분류 제외, 기타</t>
        </is>
      </c>
      <c r="L374" t="inlineStr"/>
      <c r="M374" t="inlineStr"/>
      <c r="N374" t="inlineStr"/>
    </row>
    <row r="375">
      <c r="A375" s="1" t="inlineStr">
        <is>
          <t>2021-05-04</t>
        </is>
      </c>
      <c r="B375" t="inlineStr">
        <is>
          <t>news</t>
        </is>
      </c>
      <c r="C375" t="inlineStr">
        <is>
          <t>economy</t>
        </is>
      </c>
      <c r="D375" t="inlineStr">
        <is>
          <t>뉴스1</t>
        </is>
      </c>
      <c r="E375" t="inlineStr">
        <is>
          <t>노해철</t>
        </is>
      </c>
      <c r="F375" t="inlineStr">
        <is>
          <t>'그린벨트' 택시 차고지에 수소·전기차 충전소 허용</t>
        </is>
      </c>
      <c r="G375" s="2">
        <f>HYPERLINK("https://www.news1.kr/articles/?4295337", "Go to Website")</f>
        <v/>
      </c>
      <c r="H375" t="inlineStr"/>
      <c r="I375" t="inlineStr">
        <is>
          <t>L68</t>
        </is>
      </c>
      <c r="J375" s="3" t="n">
        <v>0.989</v>
      </c>
      <c r="K375" t="inlineStr">
        <is>
          <t>부동산업</t>
        </is>
      </c>
      <c r="L375" t="inlineStr"/>
      <c r="M375" t="inlineStr"/>
      <c r="N375" t="inlineStr"/>
    </row>
    <row r="376">
      <c r="A376" s="1" t="inlineStr">
        <is>
          <t>2021-05-04</t>
        </is>
      </c>
      <c r="B376" t="inlineStr">
        <is>
          <t>news</t>
        </is>
      </c>
      <c r="C376" t="inlineStr">
        <is>
          <t>economy</t>
        </is>
      </c>
      <c r="D376" t="inlineStr">
        <is>
          <t>뉴시스</t>
        </is>
      </c>
      <c r="E376" t="inlineStr">
        <is>
          <t>강세훈</t>
        </is>
      </c>
      <c r="F376" t="inlineStr">
        <is>
          <t>그린벨트에 수소·전기차 충전소…충전 인프라 확충 속도</t>
        </is>
      </c>
      <c r="G376" s="2">
        <f>HYPERLINK("http://www.newsis.com/view/?id=NISX20210503_0001428757&amp;cID=10401&amp;pID=10400", "Go to Website")</f>
        <v/>
      </c>
      <c r="H376" t="inlineStr"/>
      <c r="I376" t="inlineStr">
        <is>
          <t>L68</t>
        </is>
      </c>
      <c r="J376" s="3" t="n">
        <v>1</v>
      </c>
      <c r="K376" t="inlineStr">
        <is>
          <t>부동산업</t>
        </is>
      </c>
      <c r="L376" t="inlineStr"/>
      <c r="M376" t="inlineStr"/>
      <c r="N376" t="inlineStr"/>
    </row>
    <row r="377">
      <c r="A377" s="1" t="inlineStr">
        <is>
          <t>2021-05-04</t>
        </is>
      </c>
      <c r="B377" t="inlineStr">
        <is>
          <t>news</t>
        </is>
      </c>
      <c r="C377" t="inlineStr">
        <is>
          <t>economy</t>
        </is>
      </c>
      <c r="D377" t="inlineStr">
        <is>
          <t>연합뉴스</t>
        </is>
      </c>
      <c r="E377" t="inlineStr">
        <is>
          <t>윤종석</t>
        </is>
      </c>
      <c r="F377" t="inlineStr">
        <is>
          <t>그린벨트 택시버스 차고지에 수소·전기 충전소 설치 허용</t>
        </is>
      </c>
      <c r="G377" s="2">
        <f>HYPERLINK("http://yna.kr/AKR20210503143300003?did=1195m", "Go to Website")</f>
        <v/>
      </c>
      <c r="H377" t="inlineStr"/>
      <c r="I377" t="inlineStr">
        <is>
          <t>L68</t>
        </is>
      </c>
      <c r="J377" s="3" t="n">
        <v>1</v>
      </c>
      <c r="K377" t="inlineStr">
        <is>
          <t>부동산업</t>
        </is>
      </c>
      <c r="L377" t="inlineStr"/>
      <c r="M377" t="inlineStr"/>
      <c r="N377" t="inlineStr"/>
    </row>
    <row r="378">
      <c r="A378" s="1" t="inlineStr">
        <is>
          <t>2021-05-04</t>
        </is>
      </c>
      <c r="B378" t="inlineStr">
        <is>
          <t>news</t>
        </is>
      </c>
      <c r="C378" t="inlineStr">
        <is>
          <t>economy</t>
        </is>
      </c>
      <c r="D378" t="inlineStr">
        <is>
          <t>KBS</t>
        </is>
      </c>
      <c r="E378" t="inlineStr"/>
      <c r="F378" t="inlineStr">
        <is>
          <t>강릉시, 2022년까지 수소차 충전소 구축</t>
        </is>
      </c>
      <c r="G378" s="2">
        <f>HYPERLINK("https://news.kbs.co.kr/news/view.do?ncd=5177771&amp;ref=A", "Go to Website")</f>
        <v/>
      </c>
      <c r="H378" t="inlineStr"/>
      <c r="I378" t="inlineStr">
        <is>
          <t>K64</t>
        </is>
      </c>
      <c r="J378" s="3" t="n">
        <v>0.635</v>
      </c>
      <c r="K378" t="inlineStr">
        <is>
          <t>금융업</t>
        </is>
      </c>
      <c r="L378" t="inlineStr"/>
      <c r="M378" t="inlineStr"/>
      <c r="N378" t="inlineStr"/>
    </row>
    <row r="379">
      <c r="A379" s="1" t="inlineStr">
        <is>
          <t>2021-05-04</t>
        </is>
      </c>
      <c r="B379" t="inlineStr">
        <is>
          <t>news</t>
        </is>
      </c>
      <c r="C379" t="inlineStr">
        <is>
          <t>economy</t>
        </is>
      </c>
      <c r="D379" t="inlineStr">
        <is>
          <t>이데일리</t>
        </is>
      </c>
      <c r="E379" t="inlineStr">
        <is>
          <t>경계영</t>
        </is>
      </c>
      <c r="F379" t="inlineStr">
        <is>
          <t>현대차, 1분기 세계 수소차 선두자리 토요타에 내줬다</t>
        </is>
      </c>
      <c r="G379" s="2">
        <f>HYPERLINK("http://www.edaily.co.kr/news/newspath.asp?newsid=01712166629045640", "Go to Website")</f>
        <v/>
      </c>
      <c r="H379" t="inlineStr"/>
      <c r="I379" t="inlineStr">
        <is>
          <t>C23</t>
        </is>
      </c>
      <c r="J379" s="3" t="n">
        <v>0.999</v>
      </c>
      <c r="K379" t="inlineStr">
        <is>
          <t>비금속 광물제품 제조업</t>
        </is>
      </c>
      <c r="L379" t="inlineStr">
        <is>
          <t>1</t>
        </is>
      </c>
      <c r="M379" s="3" t="n">
        <v>0.5600000000000001</v>
      </c>
      <c r="N379" t="inlineStr">
        <is>
          <t>긍정</t>
        </is>
      </c>
    </row>
    <row r="380">
      <c r="A380" s="1" t="inlineStr">
        <is>
          <t>2021-05-04</t>
        </is>
      </c>
      <c r="B380" t="inlineStr">
        <is>
          <t>news</t>
        </is>
      </c>
      <c r="C380" t="inlineStr">
        <is>
          <t>economy</t>
        </is>
      </c>
      <c r="D380" t="inlineStr">
        <is>
          <t>뉴시스</t>
        </is>
      </c>
      <c r="E380" t="inlineStr">
        <is>
          <t>박주연</t>
        </is>
      </c>
      <c r="F380" t="inlineStr">
        <is>
          <t>효성첨단소재, 전주 탄소섬유 공장 증설…연산 6500t 규모</t>
        </is>
      </c>
      <c r="G380" s="2">
        <f>HYPERLINK("http://www.newsis.com/view/?id=NISX20210504_0001429284&amp;cID=13001&amp;pID=13000", "Go to Website")</f>
        <v/>
      </c>
      <c r="H380" t="inlineStr"/>
      <c r="I380" t="inlineStr">
        <is>
          <t>C20</t>
        </is>
      </c>
      <c r="J380" s="3" t="n">
        <v>1</v>
      </c>
      <c r="K380" t="inlineStr">
        <is>
          <t>화학 물질 및 화학제품 제조업; 의약품 제외</t>
        </is>
      </c>
      <c r="L380" t="inlineStr">
        <is>
          <t>1</t>
        </is>
      </c>
      <c r="M380" s="3" t="n">
        <v>0.995</v>
      </c>
      <c r="N380" t="inlineStr">
        <is>
          <t>긍정</t>
        </is>
      </c>
    </row>
    <row r="381">
      <c r="A381" s="1" t="inlineStr">
        <is>
          <t>2021-05-04</t>
        </is>
      </c>
      <c r="B381" t="inlineStr">
        <is>
          <t>news</t>
        </is>
      </c>
      <c r="C381" t="inlineStr">
        <is>
          <t>economy</t>
        </is>
      </c>
      <c r="D381" t="inlineStr">
        <is>
          <t>한겨레</t>
        </is>
      </c>
      <c r="E381" t="inlineStr"/>
      <c r="F381" t="inlineStr">
        <is>
          <t>친환경사업이라고 녹색경제는 아니다</t>
        </is>
      </c>
      <c r="G381" s="2">
        <f>HYPERLINK("http://www.hani.co.kr/arti/economy/economy_general/993775.html", "Go to Website")</f>
        <v/>
      </c>
      <c r="H381" t="inlineStr"/>
      <c r="I381" t="inlineStr">
        <is>
          <t>K65</t>
        </is>
      </c>
      <c r="J381" s="3" t="n">
        <v>0.907</v>
      </c>
      <c r="K381" t="inlineStr">
        <is>
          <t>보험 및 연금업</t>
        </is>
      </c>
      <c r="L381" t="inlineStr"/>
      <c r="M381" t="inlineStr"/>
      <c r="N381" t="inlineStr"/>
    </row>
    <row r="382">
      <c r="A382" s="1" t="inlineStr">
        <is>
          <t>2021-05-04</t>
        </is>
      </c>
      <c r="B382" t="inlineStr">
        <is>
          <t>news</t>
        </is>
      </c>
      <c r="C382" t="inlineStr">
        <is>
          <t>economy</t>
        </is>
      </c>
      <c r="D382" t="inlineStr">
        <is>
          <t>한경비즈니스</t>
        </is>
      </c>
      <c r="E382" t="inlineStr">
        <is>
          <t>이현주</t>
        </is>
      </c>
      <c r="F382" t="inlineStr">
        <is>
          <t>무늬만 ‘친환경’ 걸러낸다...ESG 공시·녹색 금융의 기준 ‘택소노미’</t>
        </is>
      </c>
      <c r="G382" s="2">
        <f>HYPERLINK("https://magazine.hankyung.com/business/article/202104304282b", "Go to Website")</f>
        <v/>
      </c>
      <c r="H382" t="inlineStr"/>
      <c r="I382" t="inlineStr">
        <is>
          <t>C32</t>
        </is>
      </c>
      <c r="J382" s="3" t="n">
        <v>0.978</v>
      </c>
      <c r="K382" t="inlineStr">
        <is>
          <t>가구 제조업</t>
        </is>
      </c>
      <c r="L382" t="inlineStr"/>
      <c r="M382" t="inlineStr"/>
      <c r="N382" t="inlineStr"/>
    </row>
    <row r="383">
      <c r="A383" s="1" t="inlineStr">
        <is>
          <t>2021-05-04</t>
        </is>
      </c>
      <c r="B383" t="inlineStr">
        <is>
          <t>news</t>
        </is>
      </c>
      <c r="C383" t="inlineStr">
        <is>
          <t>economy</t>
        </is>
      </c>
      <c r="D383" t="inlineStr">
        <is>
          <t>머니투데이</t>
        </is>
      </c>
      <c r="E383" t="inlineStr">
        <is>
          <t>권화순</t>
        </is>
      </c>
      <c r="F383" t="inlineStr">
        <is>
          <t>그린벨트서 수소·전기차 충전소 확대된다</t>
        </is>
      </c>
      <c r="G383" s="2">
        <f>HYPERLINK("http://news.mt.co.kr/mtview.php?no=2021050316024027177", "Go to Website")</f>
        <v/>
      </c>
      <c r="H383" t="inlineStr"/>
      <c r="I383" t="inlineStr">
        <is>
          <t>L68</t>
        </is>
      </c>
      <c r="J383" s="3" t="n">
        <v>0.983</v>
      </c>
      <c r="K383" t="inlineStr">
        <is>
          <t>부동산업</t>
        </is>
      </c>
      <c r="L383" t="inlineStr"/>
      <c r="M383" t="inlineStr"/>
      <c r="N383" t="inlineStr"/>
    </row>
    <row r="384">
      <c r="A384" s="1" t="inlineStr">
        <is>
          <t>2021-05-04</t>
        </is>
      </c>
      <c r="B384" t="inlineStr">
        <is>
          <t>news</t>
        </is>
      </c>
      <c r="C384" t="inlineStr">
        <is>
          <t>economy</t>
        </is>
      </c>
      <c r="D384" t="inlineStr">
        <is>
          <t>머니투데이</t>
        </is>
      </c>
      <c r="E384" t="inlineStr">
        <is>
          <t>김성은</t>
        </is>
      </c>
      <c r="F384" t="inlineStr">
        <is>
          <t>"두산퓨얼셀의 수소연료전지, 세계 선박시장 변화 주도할 것"</t>
        </is>
      </c>
      <c r="G384" s="2">
        <f>HYPERLINK("http://news.mt.co.kr/mtview.php?no=2021050314420297963", "Go to Website")</f>
        <v/>
      </c>
      <c r="H384" t="inlineStr"/>
      <c r="I384" t="inlineStr">
        <is>
          <t>K64</t>
        </is>
      </c>
      <c r="J384" s="3" t="n">
        <v>0.953</v>
      </c>
      <c r="K384" t="inlineStr">
        <is>
          <t>금융업</t>
        </is>
      </c>
      <c r="L384" t="inlineStr">
        <is>
          <t>1</t>
        </is>
      </c>
      <c r="M384" s="3" t="n">
        <v>0.953</v>
      </c>
      <c r="N384" t="inlineStr">
        <is>
          <t>긍정</t>
        </is>
      </c>
    </row>
    <row r="385">
      <c r="A385" s="1" t="inlineStr">
        <is>
          <t>2021-05-04</t>
        </is>
      </c>
      <c r="B385" t="inlineStr">
        <is>
          <t>news</t>
        </is>
      </c>
      <c r="C385" t="inlineStr">
        <is>
          <t>economy</t>
        </is>
      </c>
      <c r="D385" t="inlineStr">
        <is>
          <t>뉴시스</t>
        </is>
      </c>
      <c r="E385" t="inlineStr">
        <is>
          <t>김제이</t>
        </is>
      </c>
      <c r="F385" t="inlineStr">
        <is>
          <t>청약 열기 이어갈 IPO 후보군은</t>
        </is>
      </c>
      <c r="G385" s="2">
        <f>HYPERLINK("http://www.newsis.com/view/?id=NISX20210503_0001428965&amp;cID=10401&amp;pID=10400", "Go to Website")</f>
        <v/>
      </c>
      <c r="H385" t="inlineStr"/>
      <c r="I385" t="inlineStr">
        <is>
          <t>K64</t>
        </is>
      </c>
      <c r="J385" s="3" t="n">
        <v>0.392</v>
      </c>
      <c r="K385" t="inlineStr">
        <is>
          <t>금융업</t>
        </is>
      </c>
      <c r="L385" t="inlineStr"/>
      <c r="M385" t="inlineStr"/>
      <c r="N385" t="inlineStr"/>
    </row>
    <row r="386">
      <c r="A386" s="1" t="inlineStr">
        <is>
          <t>2021-05-04</t>
        </is>
      </c>
      <c r="B386" t="inlineStr">
        <is>
          <t>news</t>
        </is>
      </c>
      <c r="C386" t="inlineStr">
        <is>
          <t>economy</t>
        </is>
      </c>
      <c r="D386" t="inlineStr">
        <is>
          <t>동아일보</t>
        </is>
      </c>
      <c r="E386" t="inlineStr">
        <is>
          <t>변종국</t>
        </is>
      </c>
      <c r="F386" t="inlineStr">
        <is>
          <t>SUV로 美 사로잡은 기아, 4월 판매량 121% 늘어 역대최대</t>
        </is>
      </c>
      <c r="G386" s="2">
        <f>HYPERLINK("https://www.donga.com/news/article/all/20210503/106752105/1", "Go to Website")</f>
        <v/>
      </c>
      <c r="H386" t="inlineStr"/>
      <c r="I386" t="inlineStr">
        <is>
          <t>C30</t>
        </is>
      </c>
      <c r="J386" s="3" t="n">
        <v>0.976</v>
      </c>
      <c r="K386" t="inlineStr">
        <is>
          <t>자동차 및 트레일러 제조업</t>
        </is>
      </c>
      <c r="L386" t="inlineStr">
        <is>
          <t>1</t>
        </is>
      </c>
      <c r="M386" s="3" t="n">
        <v>0.947</v>
      </c>
      <c r="N386" t="inlineStr">
        <is>
          <t>긍정</t>
        </is>
      </c>
    </row>
    <row r="387">
      <c r="A387" s="1" t="inlineStr">
        <is>
          <t>2021-05-03</t>
        </is>
      </c>
      <c r="B387" t="inlineStr">
        <is>
          <t>news</t>
        </is>
      </c>
      <c r="C387" t="inlineStr">
        <is>
          <t>economy</t>
        </is>
      </c>
      <c r="D387" t="inlineStr">
        <is>
          <t>아시아경제</t>
        </is>
      </c>
      <c r="E387" t="inlineStr">
        <is>
          <t>황윤주</t>
        </is>
      </c>
      <c r="F387" t="inlineStr">
        <is>
          <t>효성첨단소재㈜, 전주 탄소섬유 공장 증설</t>
        </is>
      </c>
      <c r="G387" s="2">
        <f>HYPERLINK("https://view.asiae.co.kr/article/2021050321131131082", "Go to Website")</f>
        <v/>
      </c>
      <c r="H387" t="inlineStr"/>
      <c r="I387" t="inlineStr">
        <is>
          <t>C20</t>
        </is>
      </c>
      <c r="J387" s="3" t="n">
        <v>1</v>
      </c>
      <c r="K387" t="inlineStr">
        <is>
          <t>화학 물질 및 화학제품 제조업; 의약품 제외</t>
        </is>
      </c>
      <c r="L387" t="inlineStr">
        <is>
          <t>1</t>
        </is>
      </c>
      <c r="M387" s="3" t="n">
        <v>0.99</v>
      </c>
      <c r="N387" t="inlineStr">
        <is>
          <t>긍정</t>
        </is>
      </c>
    </row>
    <row r="388">
      <c r="A388" s="1" t="inlineStr">
        <is>
          <t>2021-05-03</t>
        </is>
      </c>
      <c r="B388" t="inlineStr">
        <is>
          <t>news</t>
        </is>
      </c>
      <c r="C388" t="inlineStr">
        <is>
          <t>economy</t>
        </is>
      </c>
      <c r="D388" t="inlineStr">
        <is>
          <t>머니투데이</t>
        </is>
      </c>
      <c r="E388" t="inlineStr">
        <is>
          <t>김성은</t>
        </is>
      </c>
      <c r="F388" t="inlineStr">
        <is>
          <t>효성첨단소재, 탄소섬유 공장 증설…연산 4000톤→6500톤</t>
        </is>
      </c>
      <c r="G388" s="2">
        <f>HYPERLINK("http://news.mt.co.kr/mtview.php?no=2021050318544576648", "Go to Website")</f>
        <v/>
      </c>
      <c r="H388" t="inlineStr"/>
      <c r="I388" t="inlineStr">
        <is>
          <t>C20</t>
        </is>
      </c>
      <c r="J388" s="3" t="n">
        <v>1</v>
      </c>
      <c r="K388" t="inlineStr">
        <is>
          <t>화학 물질 및 화학제품 제조업; 의약품 제외</t>
        </is>
      </c>
      <c r="L388" t="inlineStr">
        <is>
          <t>1</t>
        </is>
      </c>
      <c r="M388" s="3" t="n">
        <v>0.947</v>
      </c>
      <c r="N388" t="inlineStr">
        <is>
          <t>긍정</t>
        </is>
      </c>
    </row>
    <row r="389">
      <c r="A389" s="1" t="inlineStr">
        <is>
          <t>2021-05-03</t>
        </is>
      </c>
      <c r="B389" t="inlineStr">
        <is>
          <t>news</t>
        </is>
      </c>
      <c r="C389" t="inlineStr">
        <is>
          <t>economy</t>
        </is>
      </c>
      <c r="D389" t="inlineStr">
        <is>
          <t>디지털타임스</t>
        </is>
      </c>
      <c r="E389" t="inlineStr"/>
      <c r="F389" t="inlineStr">
        <is>
          <t>바이든발 탄소중립·패권주의… 전기차엔 `기회`·반도체 `위기`</t>
        </is>
      </c>
      <c r="G389" s="2">
        <f>HYPERLINK("http://www.dt.co.kr/contents.html?article_no=2021050402100658063001", "Go to Website")</f>
        <v/>
      </c>
      <c r="H389" t="inlineStr"/>
      <c r="I389" t="inlineStr">
        <is>
          <t>B06</t>
        </is>
      </c>
      <c r="J389" s="3" t="n">
        <v>0.927</v>
      </c>
      <c r="K389" t="inlineStr">
        <is>
          <t>금속 광업</t>
        </is>
      </c>
      <c r="L389" t="inlineStr"/>
      <c r="M389" t="inlineStr"/>
      <c r="N389" t="inlineStr"/>
    </row>
    <row r="390">
      <c r="A390" s="1" t="inlineStr">
        <is>
          <t>2021-05-03</t>
        </is>
      </c>
      <c r="B390" t="inlineStr">
        <is>
          <t>news</t>
        </is>
      </c>
      <c r="C390" t="inlineStr">
        <is>
          <t>tech</t>
        </is>
      </c>
      <c r="D390" t="inlineStr">
        <is>
          <t>이데일리</t>
        </is>
      </c>
      <c r="E390" t="inlineStr">
        <is>
          <t>강민구</t>
        </is>
      </c>
      <c r="F390" t="inlineStr">
        <is>
          <t>탄소중립 기술 어디까지?…수소차 500대 충전, 항공기 소재 가격 인하</t>
        </is>
      </c>
      <c r="G390" s="2">
        <f>HYPERLINK("http://www.edaily.co.kr/news/newspath.asp?newsid=03673606629045312", "Go to Website")</f>
        <v/>
      </c>
      <c r="H390" t="inlineStr"/>
      <c r="I390" t="inlineStr"/>
      <c r="J390" t="inlineStr"/>
      <c r="K390" t="inlineStr"/>
      <c r="L390" t="inlineStr"/>
      <c r="M390" t="inlineStr"/>
      <c r="N390" t="inlineStr"/>
    </row>
    <row r="391">
      <c r="A391" s="1" t="inlineStr">
        <is>
          <t>2021-05-03</t>
        </is>
      </c>
      <c r="B391" t="inlineStr">
        <is>
          <t>news</t>
        </is>
      </c>
      <c r="C391" t="inlineStr">
        <is>
          <t>economy</t>
        </is>
      </c>
      <c r="D391" t="inlineStr">
        <is>
          <t>아시아경제</t>
        </is>
      </c>
      <c r="E391" t="inlineStr">
        <is>
          <t>이선애</t>
        </is>
      </c>
      <c r="F391" t="inlineStr">
        <is>
          <t>효성첨단소재, 758억원 투자해 전주 탄소섬유 공장 증설</t>
        </is>
      </c>
      <c r="G391" s="2">
        <f>HYPERLINK("https://view.asiae.co.kr/article/2021050319055309837", "Go to Website")</f>
        <v/>
      </c>
      <c r="H391" t="inlineStr"/>
      <c r="I391" t="inlineStr">
        <is>
          <t>C20</t>
        </is>
      </c>
      <c r="J391" s="3" t="n">
        <v>1</v>
      </c>
      <c r="K391" t="inlineStr">
        <is>
          <t>화학 물질 및 화학제품 제조업; 의약품 제외</t>
        </is>
      </c>
      <c r="L391" t="inlineStr">
        <is>
          <t>1</t>
        </is>
      </c>
      <c r="M391" s="3" t="n">
        <v>0.998</v>
      </c>
      <c r="N391" t="inlineStr">
        <is>
          <t>긍정</t>
        </is>
      </c>
    </row>
    <row r="392">
      <c r="A392" s="1" t="inlineStr">
        <is>
          <t>2021-05-03</t>
        </is>
      </c>
      <c r="B392" t="inlineStr">
        <is>
          <t>news</t>
        </is>
      </c>
      <c r="C392" t="inlineStr">
        <is>
          <t>economy</t>
        </is>
      </c>
      <c r="D392" t="inlineStr">
        <is>
          <t>더팩트</t>
        </is>
      </c>
      <c r="E392" t="inlineStr">
        <is>
          <t>서재근</t>
        </is>
      </c>
      <c r="F392" t="inlineStr">
        <is>
          <t>효성첨단소재, 전주 탐소섬유 공장 연산 6500t 규모로 증설</t>
        </is>
      </c>
      <c r="G392" s="2">
        <f>HYPERLINK("http://news.tf.co.kr/read/economy/1858625.htm", "Go to Website")</f>
        <v/>
      </c>
      <c r="H392" t="inlineStr"/>
      <c r="I392" t="inlineStr">
        <is>
          <t>C20</t>
        </is>
      </c>
      <c r="J392" s="3" t="n">
        <v>1</v>
      </c>
      <c r="K392" t="inlineStr">
        <is>
          <t>화학 물질 및 화학제품 제조업; 의약품 제외</t>
        </is>
      </c>
      <c r="L392" t="inlineStr">
        <is>
          <t>1</t>
        </is>
      </c>
      <c r="M392" s="3" t="n">
        <v>0.996</v>
      </c>
      <c r="N392" t="inlineStr">
        <is>
          <t>긍정</t>
        </is>
      </c>
    </row>
    <row r="393">
      <c r="A393" s="1" t="inlineStr">
        <is>
          <t>2021-05-03</t>
        </is>
      </c>
      <c r="B393" t="inlineStr">
        <is>
          <t>news</t>
        </is>
      </c>
      <c r="C393" t="inlineStr">
        <is>
          <t>economy</t>
        </is>
      </c>
      <c r="D393" t="inlineStr">
        <is>
          <t>헤럴드경제</t>
        </is>
      </c>
      <c r="E393" t="inlineStr">
        <is>
          <t>김현일</t>
        </is>
      </c>
      <c r="F393" t="inlineStr">
        <is>
          <t>효성, ‘꿈의 소재’ 탄소섬유 전주공장 증설 758억 투자</t>
        </is>
      </c>
      <c r="G393" s="2">
        <f>HYPERLINK("http://news.heraldcorp.com/view.php?ud=20210503001149", "Go to Website")</f>
        <v/>
      </c>
      <c r="H393" t="inlineStr"/>
      <c r="I393" t="inlineStr">
        <is>
          <t>C20</t>
        </is>
      </c>
      <c r="J393" s="3" t="n">
        <v>1</v>
      </c>
      <c r="K393" t="inlineStr">
        <is>
          <t>화학 물질 및 화학제품 제조업; 의약품 제외</t>
        </is>
      </c>
      <c r="L393" t="inlineStr">
        <is>
          <t>1</t>
        </is>
      </c>
      <c r="M393" s="3" t="n">
        <v>0.995</v>
      </c>
      <c r="N393" t="inlineStr">
        <is>
          <t>긍정</t>
        </is>
      </c>
    </row>
    <row r="394">
      <c r="A394" s="1" t="inlineStr">
        <is>
          <t>2021-05-03</t>
        </is>
      </c>
      <c r="B394" t="inlineStr">
        <is>
          <t>news</t>
        </is>
      </c>
      <c r="C394" t="inlineStr">
        <is>
          <t>economy</t>
        </is>
      </c>
      <c r="D394" t="inlineStr">
        <is>
          <t>파이낸셜뉴스</t>
        </is>
      </c>
      <c r="E394" t="inlineStr">
        <is>
          <t>안태호</t>
        </is>
      </c>
      <c r="F394" t="inlineStr">
        <is>
          <t>효성첨단소재, 탄소섬유 年 6500t 규모로 전주공장 증설</t>
        </is>
      </c>
      <c r="G394" s="2">
        <f>HYPERLINK("http://www.fnnews.com/news/202105031823171672", "Go to Website")</f>
        <v/>
      </c>
      <c r="H394" t="inlineStr"/>
      <c r="I394" t="inlineStr">
        <is>
          <t>C20</t>
        </is>
      </c>
      <c r="J394" s="3" t="n">
        <v>0.999</v>
      </c>
      <c r="K394" t="inlineStr">
        <is>
          <t>화학 물질 및 화학제품 제조업; 의약품 제외</t>
        </is>
      </c>
      <c r="L394" t="inlineStr">
        <is>
          <t>1</t>
        </is>
      </c>
      <c r="M394" s="3" t="n">
        <v>0.998</v>
      </c>
      <c r="N394" t="inlineStr">
        <is>
          <t>긍정</t>
        </is>
      </c>
    </row>
    <row r="395">
      <c r="A395" s="1" t="inlineStr">
        <is>
          <t>2021-05-03</t>
        </is>
      </c>
      <c r="B395" t="inlineStr">
        <is>
          <t>news</t>
        </is>
      </c>
      <c r="C395" t="inlineStr">
        <is>
          <t>economy</t>
        </is>
      </c>
      <c r="D395" t="inlineStr">
        <is>
          <t>데일리안</t>
        </is>
      </c>
      <c r="E395" t="inlineStr">
        <is>
          <t>이홍석</t>
        </is>
      </c>
      <c r="F395" t="inlineStr">
        <is>
          <t>효성첨단소재, 전주 탄소섬유 공장 증설...연산 6500톤 규모</t>
        </is>
      </c>
      <c r="G395" s="2">
        <f>HYPERLINK("https://www.dailian.co.kr/news/view/988068/", "Go to Website")</f>
        <v/>
      </c>
      <c r="H395" t="inlineStr"/>
      <c r="I395" t="inlineStr">
        <is>
          <t>C20</t>
        </is>
      </c>
      <c r="J395" s="3" t="n">
        <v>1</v>
      </c>
      <c r="K395" t="inlineStr">
        <is>
          <t>화학 물질 및 화학제품 제조업; 의약품 제외</t>
        </is>
      </c>
      <c r="L395" t="inlineStr">
        <is>
          <t>1</t>
        </is>
      </c>
      <c r="M395" s="3" t="n">
        <v>0.994</v>
      </c>
      <c r="N395" t="inlineStr">
        <is>
          <t>긍정</t>
        </is>
      </c>
    </row>
    <row r="396">
      <c r="A396" s="1" t="inlineStr">
        <is>
          <t>2021-05-03</t>
        </is>
      </c>
      <c r="B396" t="inlineStr">
        <is>
          <t>news</t>
        </is>
      </c>
      <c r="C396" t="inlineStr">
        <is>
          <t>economy</t>
        </is>
      </c>
      <c r="D396" t="inlineStr">
        <is>
          <t>한국경제</t>
        </is>
      </c>
      <c r="E396" t="inlineStr">
        <is>
          <t>안재광</t>
        </is>
      </c>
      <c r="F396" t="inlineStr">
        <is>
          <t>효성첨단소재, 758억 투자해 전주공장 탄소섬유 라인 증설</t>
        </is>
      </c>
      <c r="G396" s="2">
        <f>HYPERLINK("https://www.hankyung.com/economy/article/202105035121i", "Go to Website")</f>
        <v/>
      </c>
      <c r="H396" t="inlineStr"/>
      <c r="I396" t="inlineStr">
        <is>
          <t>C20</t>
        </is>
      </c>
      <c r="J396" s="3" t="n">
        <v>1</v>
      </c>
      <c r="K396" t="inlineStr">
        <is>
          <t>화학 물질 및 화학제품 제조업; 의약품 제외</t>
        </is>
      </c>
      <c r="L396" t="inlineStr">
        <is>
          <t>1</t>
        </is>
      </c>
      <c r="M396" s="3" t="n">
        <v>0.998</v>
      </c>
      <c r="N396" t="inlineStr">
        <is>
          <t>긍정</t>
        </is>
      </c>
    </row>
    <row r="397">
      <c r="A397" s="1" t="inlineStr">
        <is>
          <t>2021-05-03</t>
        </is>
      </c>
      <c r="B397" t="inlineStr">
        <is>
          <t>news</t>
        </is>
      </c>
      <c r="C397" t="inlineStr">
        <is>
          <t>economy</t>
        </is>
      </c>
      <c r="D397" t="inlineStr">
        <is>
          <t>디지털타임스</t>
        </is>
      </c>
      <c r="E397" t="inlineStr">
        <is>
          <t>김위수</t>
        </is>
      </c>
      <c r="F397" t="inlineStr">
        <is>
          <t>효성첨단소재 탄소섬유 공장 증설…연산 6500t 규모로 확대</t>
        </is>
      </c>
      <c r="G397" s="2">
        <f>HYPERLINK("http://www.dt.co.kr/contents.html?article_no=2021050302109932033007", "Go to Website")</f>
        <v/>
      </c>
      <c r="H397" t="inlineStr"/>
      <c r="I397" t="inlineStr">
        <is>
          <t>C20</t>
        </is>
      </c>
      <c r="J397" s="3" t="n">
        <v>1</v>
      </c>
      <c r="K397" t="inlineStr">
        <is>
          <t>화학 물질 및 화학제품 제조업; 의약품 제외</t>
        </is>
      </c>
      <c r="L397" t="inlineStr">
        <is>
          <t>1</t>
        </is>
      </c>
      <c r="M397" s="3" t="n">
        <v>0.995</v>
      </c>
      <c r="N397" t="inlineStr">
        <is>
          <t>긍정</t>
        </is>
      </c>
    </row>
    <row r="398">
      <c r="A398" s="1" t="inlineStr">
        <is>
          <t>2021-05-03</t>
        </is>
      </c>
      <c r="B398" t="inlineStr">
        <is>
          <t>news</t>
        </is>
      </c>
      <c r="C398" t="inlineStr">
        <is>
          <t>economy</t>
        </is>
      </c>
      <c r="D398" t="inlineStr">
        <is>
          <t>한국경제TV</t>
        </is>
      </c>
      <c r="E398" t="inlineStr">
        <is>
          <t>송민화</t>
        </is>
      </c>
      <c r="F398" t="inlineStr">
        <is>
          <t>효성첨단소재, 전주 탄소섬유 공장 증설…"연산 6,500톤 규모"</t>
        </is>
      </c>
      <c r="G398" s="2">
        <f>HYPERLINK("http://www.wowtv.co.kr/NewsCenter/News/Read?articleId=A202105030386&amp;t=NN", "Go to Website")</f>
        <v/>
      </c>
      <c r="H398" t="inlineStr"/>
      <c r="I398" t="inlineStr">
        <is>
          <t>C20</t>
        </is>
      </c>
      <c r="J398" s="3" t="n">
        <v>1</v>
      </c>
      <c r="K398" t="inlineStr">
        <is>
          <t>화학 물질 및 화학제품 제조업; 의약품 제외</t>
        </is>
      </c>
      <c r="L398" t="inlineStr">
        <is>
          <t>1</t>
        </is>
      </c>
      <c r="M398" s="3" t="n">
        <v>0.944</v>
      </c>
      <c r="N398" t="inlineStr">
        <is>
          <t>긍정</t>
        </is>
      </c>
    </row>
    <row r="399">
      <c r="A399" s="1" t="inlineStr">
        <is>
          <t>2021-05-03</t>
        </is>
      </c>
      <c r="B399" t="inlineStr">
        <is>
          <t>news</t>
        </is>
      </c>
      <c r="C399" t="inlineStr">
        <is>
          <t>economy</t>
        </is>
      </c>
      <c r="D399" t="inlineStr">
        <is>
          <t>연합뉴스</t>
        </is>
      </c>
      <c r="E399" t="inlineStr">
        <is>
          <t>김영신</t>
        </is>
      </c>
      <c r="F399" t="inlineStr">
        <is>
          <t>효성첨단소재, 758억원 투자해 전주 탄소섬유 공장 증설</t>
        </is>
      </c>
      <c r="G399" s="2">
        <f>HYPERLINK("http://yna.kr/AKR20210503151700003?did=1195m", "Go to Website")</f>
        <v/>
      </c>
      <c r="H399" t="inlineStr"/>
      <c r="I399" t="inlineStr">
        <is>
          <t>C20</t>
        </is>
      </c>
      <c r="J399" s="3" t="n">
        <v>1</v>
      </c>
      <c r="K399" t="inlineStr">
        <is>
          <t>화학 물질 및 화학제품 제조업; 의약품 제외</t>
        </is>
      </c>
      <c r="L399" t="inlineStr">
        <is>
          <t>1</t>
        </is>
      </c>
      <c r="M399" s="3" t="n">
        <v>0.996</v>
      </c>
      <c r="N399" t="inlineStr">
        <is>
          <t>긍정</t>
        </is>
      </c>
    </row>
    <row r="400">
      <c r="A400" s="1" t="inlineStr">
        <is>
          <t>2021-05-03</t>
        </is>
      </c>
      <c r="B400" t="inlineStr">
        <is>
          <t>news</t>
        </is>
      </c>
      <c r="C400" t="inlineStr">
        <is>
          <t>economy</t>
        </is>
      </c>
      <c r="D400" t="inlineStr">
        <is>
          <t>뉴스1</t>
        </is>
      </c>
      <c r="E400" t="inlineStr">
        <is>
          <t>문창석</t>
        </is>
      </c>
      <c r="F400" t="inlineStr">
        <is>
          <t>효성첨단소재, 전주 탄소섬유 공장 6500톤 규모로 증설</t>
        </is>
      </c>
      <c r="G400" s="2">
        <f>HYPERLINK("https://www.news1.kr/articles/?4295293", "Go to Website")</f>
        <v/>
      </c>
      <c r="H400" t="inlineStr"/>
      <c r="I400" t="inlineStr">
        <is>
          <t>C20</t>
        </is>
      </c>
      <c r="J400" s="3" t="n">
        <v>0.997</v>
      </c>
      <c r="K400" t="inlineStr">
        <is>
          <t>화학 물질 및 화학제품 제조업; 의약품 제외</t>
        </is>
      </c>
      <c r="L400" t="inlineStr">
        <is>
          <t>1</t>
        </is>
      </c>
      <c r="M400" s="3" t="n">
        <v>0.998</v>
      </c>
      <c r="N400" t="inlineStr">
        <is>
          <t>긍정</t>
        </is>
      </c>
    </row>
    <row r="401">
      <c r="A401" s="1" t="inlineStr">
        <is>
          <t>2021-05-03</t>
        </is>
      </c>
      <c r="B401" t="inlineStr">
        <is>
          <t>news</t>
        </is>
      </c>
      <c r="C401" t="inlineStr">
        <is>
          <t>economy</t>
        </is>
      </c>
      <c r="D401" t="inlineStr">
        <is>
          <t>서울경제</t>
        </is>
      </c>
      <c r="E401" t="inlineStr">
        <is>
          <t>한재영</t>
        </is>
      </c>
      <c r="F401" t="inlineStr">
        <is>
          <t>효성첨단소재, 758억 투자해 전주 탄소섬유 공장 증설</t>
        </is>
      </c>
      <c r="G401" s="2">
        <f>HYPERLINK("https://www.sedaily.com/NewsView/22M7V0N5FG", "Go to Website")</f>
        <v/>
      </c>
      <c r="H401" t="inlineStr"/>
      <c r="I401" t="inlineStr">
        <is>
          <t>C20</t>
        </is>
      </c>
      <c r="J401" s="3" t="n">
        <v>1</v>
      </c>
      <c r="K401" t="inlineStr">
        <is>
          <t>화학 물질 및 화학제품 제조업; 의약품 제외</t>
        </is>
      </c>
      <c r="L401" t="inlineStr">
        <is>
          <t>1</t>
        </is>
      </c>
      <c r="M401" s="3" t="n">
        <v>0.997</v>
      </c>
      <c r="N401" t="inlineStr">
        <is>
          <t>긍정</t>
        </is>
      </c>
    </row>
    <row r="402">
      <c r="A402" s="1" t="inlineStr">
        <is>
          <t>2021-05-03</t>
        </is>
      </c>
      <c r="B402" t="inlineStr">
        <is>
          <t>news</t>
        </is>
      </c>
      <c r="C402" t="inlineStr">
        <is>
          <t>economy</t>
        </is>
      </c>
      <c r="D402" t="inlineStr">
        <is>
          <t>머니S</t>
        </is>
      </c>
      <c r="E402" t="inlineStr">
        <is>
          <t>권가림</t>
        </is>
      </c>
      <c r="F402" t="inlineStr">
        <is>
          <t>효성첨단소재, 758억 투자 탄소섬유 공장 증설… 연산 6500톤으로 확대</t>
        </is>
      </c>
      <c r="G402" s="2">
        <f>HYPERLINK("http://moneys.mt.co.kr/news/mwView.php?no=2021050317558097125", "Go to Website")</f>
        <v/>
      </c>
      <c r="H402" t="inlineStr"/>
      <c r="I402" t="inlineStr">
        <is>
          <t>C20</t>
        </is>
      </c>
      <c r="J402" s="3" t="n">
        <v>1</v>
      </c>
      <c r="K402" t="inlineStr">
        <is>
          <t>화학 물질 및 화학제품 제조업; 의약품 제외</t>
        </is>
      </c>
      <c r="L402" t="inlineStr">
        <is>
          <t>1</t>
        </is>
      </c>
      <c r="M402" s="3" t="n">
        <v>0.994</v>
      </c>
      <c r="N402" t="inlineStr">
        <is>
          <t>긍정</t>
        </is>
      </c>
    </row>
    <row r="403">
      <c r="A403" s="1" t="inlineStr">
        <is>
          <t>2021-05-03</t>
        </is>
      </c>
      <c r="B403" t="inlineStr">
        <is>
          <t>news</t>
        </is>
      </c>
      <c r="C403" t="inlineStr">
        <is>
          <t>economy</t>
        </is>
      </c>
      <c r="D403" t="inlineStr">
        <is>
          <t>이데일리</t>
        </is>
      </c>
      <c r="E403" t="inlineStr">
        <is>
          <t>김정유</t>
        </is>
      </c>
      <c r="F403" t="inlineStr">
        <is>
          <t>효성첨단소재, 연산 6500톤 규모 탄소섬유 공장 증설</t>
        </is>
      </c>
      <c r="G403" s="2">
        <f>HYPERLINK("http://www.edaily.co.kr/news/newspath.asp?newsid=03539126629045312", "Go to Website")</f>
        <v/>
      </c>
      <c r="H403" t="inlineStr"/>
      <c r="I403" t="inlineStr">
        <is>
          <t>C20</t>
        </is>
      </c>
      <c r="J403" s="3" t="n">
        <v>1</v>
      </c>
      <c r="K403" t="inlineStr">
        <is>
          <t>화학 물질 및 화학제품 제조업; 의약품 제외</t>
        </is>
      </c>
      <c r="L403" t="inlineStr">
        <is>
          <t>1</t>
        </is>
      </c>
      <c r="M403" s="3" t="n">
        <v>0.998</v>
      </c>
      <c r="N403" t="inlineStr">
        <is>
          <t>긍정</t>
        </is>
      </c>
    </row>
    <row r="404">
      <c r="A404" s="1" t="inlineStr">
        <is>
          <t>2021-05-03</t>
        </is>
      </c>
      <c r="B404" t="inlineStr">
        <is>
          <t>news</t>
        </is>
      </c>
      <c r="C404" t="inlineStr">
        <is>
          <t>economy</t>
        </is>
      </c>
      <c r="D404" t="inlineStr">
        <is>
          <t>서울경제</t>
        </is>
      </c>
      <c r="E404" t="inlineStr">
        <is>
          <t>김흥록</t>
        </is>
      </c>
      <c r="F404" t="inlineStr">
        <is>
          <t>"수소연료전지 부품, 수입의존 높아...무역분쟁에 취약"</t>
        </is>
      </c>
      <c r="G404" s="2">
        <f>HYPERLINK("https://www.sedaily.com/NewsView/22M7V9I4IP", "Go to Website")</f>
        <v/>
      </c>
      <c r="H404" t="inlineStr"/>
      <c r="I404" t="inlineStr">
        <is>
          <t>100</t>
        </is>
      </c>
      <c r="J404" s="3" t="n">
        <v>0.776</v>
      </c>
      <c r="K404" t="inlineStr">
        <is>
          <t>분류 제외, 기타</t>
        </is>
      </c>
      <c r="L404" t="inlineStr">
        <is>
          <t>0</t>
        </is>
      </c>
      <c r="M404" s="3" t="n">
        <v>0.899</v>
      </c>
      <c r="N404" t="inlineStr">
        <is>
          <t>중립</t>
        </is>
      </c>
    </row>
    <row r="405">
      <c r="A405" s="1" t="inlineStr">
        <is>
          <t>2021-05-03</t>
        </is>
      </c>
      <c r="B405" t="inlineStr">
        <is>
          <t>news</t>
        </is>
      </c>
      <c r="C405" t="inlineStr">
        <is>
          <t>economy</t>
        </is>
      </c>
      <c r="D405" t="inlineStr">
        <is>
          <t>서울경제</t>
        </is>
      </c>
      <c r="E405" t="inlineStr">
        <is>
          <t>김능현</t>
        </is>
      </c>
      <c r="F405" t="inlineStr">
        <is>
          <t>해외선 수소 스타트업 급증...유니콘 꿈꾼다</t>
        </is>
      </c>
      <c r="G405" s="2">
        <f>HYPERLINK("https://www.sedaily.com/NewsView/22M7UV9YJ6", "Go to Website")</f>
        <v/>
      </c>
      <c r="H405" t="inlineStr"/>
      <c r="I405" t="inlineStr">
        <is>
          <t>F41</t>
        </is>
      </c>
      <c r="J405" s="3" t="n">
        <v>0.547</v>
      </c>
      <c r="K405" t="inlineStr">
        <is>
          <t>종합 건설업</t>
        </is>
      </c>
      <c r="L405" t="inlineStr">
        <is>
          <t>1</t>
        </is>
      </c>
      <c r="M405" s="3" t="n">
        <v>0.785</v>
      </c>
      <c r="N405" t="inlineStr">
        <is>
          <t>긍정</t>
        </is>
      </c>
    </row>
    <row r="406">
      <c r="A406" s="1" t="inlineStr">
        <is>
          <t>2021-05-03</t>
        </is>
      </c>
      <c r="B406" t="inlineStr">
        <is>
          <t>news</t>
        </is>
      </c>
      <c r="C406" t="inlineStr">
        <is>
          <t>economy</t>
        </is>
      </c>
      <c r="D406" t="inlineStr">
        <is>
          <t>매일경제</t>
        </is>
      </c>
      <c r="E406" t="inlineStr">
        <is>
          <t>이충우</t>
        </is>
      </c>
      <c r="F406" t="inlineStr">
        <is>
          <t>[포토] 변화하는 주유소</t>
        </is>
      </c>
      <c r="G406" s="2">
        <f>HYPERLINK("http://news.mk.co.kr/newsRead.php?no=427761&amp;year=2021", "Go to Website")</f>
        <v/>
      </c>
      <c r="H406" t="inlineStr"/>
      <c r="I406" t="inlineStr">
        <is>
          <t>M71</t>
        </is>
      </c>
      <c r="J406" s="3" t="n">
        <v>0.848</v>
      </c>
      <c r="K406" t="inlineStr">
        <is>
          <t>전문 서비스업</t>
        </is>
      </c>
      <c r="L406" t="inlineStr"/>
      <c r="M406" t="inlineStr"/>
      <c r="N406" t="inlineStr"/>
    </row>
    <row r="407">
      <c r="A407" s="1" t="inlineStr">
        <is>
          <t>2021-05-03</t>
        </is>
      </c>
      <c r="B407" t="inlineStr">
        <is>
          <t>news</t>
        </is>
      </c>
      <c r="C407" t="inlineStr">
        <is>
          <t>economy</t>
        </is>
      </c>
      <c r="D407" t="inlineStr">
        <is>
          <t>서울경제</t>
        </is>
      </c>
      <c r="E407" t="inlineStr">
        <is>
          <t>이재명</t>
        </is>
      </c>
      <c r="F407" t="inlineStr">
        <is>
          <t>수소차 앞서지만 선박·드론은 열악···"UAM 특별법 서둘러야"</t>
        </is>
      </c>
      <c r="G407" s="2">
        <f>HYPERLINK("https://www.sedaily.com/NewsView/22M7V1T4VP", "Go to Website")</f>
        <v/>
      </c>
      <c r="H407" t="inlineStr"/>
      <c r="I407" t="inlineStr">
        <is>
          <t>C30</t>
        </is>
      </c>
      <c r="J407" s="3" t="n">
        <v>0.578</v>
      </c>
      <c r="K407" t="inlineStr">
        <is>
          <t>자동차 및 트레일러 제조업</t>
        </is>
      </c>
      <c r="L407" t="inlineStr"/>
      <c r="M407" t="inlineStr"/>
      <c r="N407" t="inlineStr"/>
    </row>
    <row r="408">
      <c r="A408" s="1" t="inlineStr">
        <is>
          <t>2021-05-03</t>
        </is>
      </c>
      <c r="B408" t="inlineStr">
        <is>
          <t>news</t>
        </is>
      </c>
      <c r="C408" t="inlineStr">
        <is>
          <t>economy</t>
        </is>
      </c>
      <c r="D408" t="inlineStr">
        <is>
          <t>매일신문</t>
        </is>
      </c>
      <c r="E408" t="inlineStr">
        <is>
          <t>김윤기</t>
        </is>
      </c>
      <c r="F408" t="inlineStr">
        <is>
          <t>대구시 12개사 중기부 '글로벌 강소기업' 선정</t>
        </is>
      </c>
      <c r="G408" s="2">
        <f>HYPERLINK("https://news.imaeil.com/Economy/2021050316022815952", "Go to Website")</f>
        <v/>
      </c>
      <c r="H408" t="inlineStr"/>
      <c r="I408" t="inlineStr">
        <is>
          <t>100</t>
        </is>
      </c>
      <c r="J408" s="3" t="n">
        <v>0.574</v>
      </c>
      <c r="K408" t="inlineStr">
        <is>
          <t>분류 제외, 기타</t>
        </is>
      </c>
      <c r="L408" t="inlineStr">
        <is>
          <t>1</t>
        </is>
      </c>
      <c r="M408" s="3" t="n">
        <v>0.98</v>
      </c>
      <c r="N408" t="inlineStr">
        <is>
          <t>긍정</t>
        </is>
      </c>
    </row>
    <row r="409">
      <c r="A409" s="1" t="inlineStr">
        <is>
          <t>2021-05-03</t>
        </is>
      </c>
      <c r="B409" t="inlineStr">
        <is>
          <t>news</t>
        </is>
      </c>
      <c r="C409" t="inlineStr">
        <is>
          <t>economy</t>
        </is>
      </c>
      <c r="D409" t="inlineStr">
        <is>
          <t>디지털타임스</t>
        </is>
      </c>
      <c r="E409" t="inlineStr">
        <is>
          <t>김위수</t>
        </is>
      </c>
      <c r="F409" t="inlineStr">
        <is>
          <t>국내에서도 사업간 이종결합 활발…모빌리티가 중심</t>
        </is>
      </c>
      <c r="G409" s="2">
        <f>HYPERLINK("http://www.dt.co.kr/contents.html?article_no=2021050402100332033001", "Go to Website")</f>
        <v/>
      </c>
      <c r="H409" t="inlineStr"/>
      <c r="I409" t="inlineStr">
        <is>
          <t>C26</t>
        </is>
      </c>
      <c r="J409" s="3" t="n">
        <v>0.59</v>
      </c>
      <c r="K409" t="inlineStr">
        <is>
          <t>전자 부품, 컴퓨터, 영상, 음향 및 통신장비 제조업</t>
        </is>
      </c>
      <c r="L409" t="inlineStr"/>
      <c r="M409" t="inlineStr"/>
      <c r="N409" t="inlineStr"/>
    </row>
    <row r="410">
      <c r="A410" s="1" t="inlineStr">
        <is>
          <t>2021-05-03</t>
        </is>
      </c>
      <c r="B410" t="inlineStr">
        <is>
          <t>news</t>
        </is>
      </c>
      <c r="C410" t="inlineStr">
        <is>
          <t>economy</t>
        </is>
      </c>
      <c r="D410" t="inlineStr">
        <is>
          <t>헤럴드경제</t>
        </is>
      </c>
      <c r="E410" t="inlineStr">
        <is>
          <t>원호연</t>
        </is>
      </c>
      <c r="F410" t="inlineStr">
        <is>
          <t>[4월 완성차 실적]현대차, 지난달 국내외서 34.6만대 판매… 내수와 수출 희비 엇갈려</t>
        </is>
      </c>
      <c r="G410" s="2">
        <f>HYPERLINK("http://news.heraldcorp.com/view.php?ud=20210503000977", "Go to Website")</f>
        <v/>
      </c>
      <c r="H410" t="inlineStr"/>
      <c r="I410" t="inlineStr">
        <is>
          <t>C30</t>
        </is>
      </c>
      <c r="J410" s="3" t="n">
        <v>0.963</v>
      </c>
      <c r="K410" t="inlineStr">
        <is>
          <t>자동차 및 트레일러 제조업</t>
        </is>
      </c>
      <c r="L410" t="inlineStr">
        <is>
          <t>1</t>
        </is>
      </c>
      <c r="M410" s="3" t="n">
        <v>0.571</v>
      </c>
      <c r="N410" t="inlineStr">
        <is>
          <t>긍정</t>
        </is>
      </c>
    </row>
    <row r="411">
      <c r="A411" s="1" t="inlineStr">
        <is>
          <t>2021-05-03</t>
        </is>
      </c>
      <c r="B411" t="inlineStr">
        <is>
          <t>news</t>
        </is>
      </c>
      <c r="C411" t="inlineStr">
        <is>
          <t>economy</t>
        </is>
      </c>
      <c r="D411" t="inlineStr">
        <is>
          <t>디지털타임스</t>
        </is>
      </c>
      <c r="E411" t="inlineStr">
        <is>
          <t>이윤형</t>
        </is>
      </c>
      <c r="F411" t="inlineStr">
        <is>
          <t>KB국민은행, KB Green Wave 필(必)환경 캠페인 실시</t>
        </is>
      </c>
      <c r="G411" s="2">
        <f>HYPERLINK("http://www.dt.co.kr/contents.html?article_no=2021050302109963077010", "Go to Website")</f>
        <v/>
      </c>
      <c r="H411" t="inlineStr"/>
      <c r="I411" t="inlineStr">
        <is>
          <t>K64</t>
        </is>
      </c>
      <c r="J411" s="3" t="n">
        <v>1</v>
      </c>
      <c r="K411" t="inlineStr">
        <is>
          <t>금융업</t>
        </is>
      </c>
      <c r="L411" t="inlineStr"/>
      <c r="M411" t="inlineStr"/>
      <c r="N411" t="inlineStr"/>
    </row>
    <row r="412">
      <c r="A412" s="1" t="inlineStr">
        <is>
          <t>2021-05-03</t>
        </is>
      </c>
      <c r="B412" t="inlineStr">
        <is>
          <t>news</t>
        </is>
      </c>
      <c r="C412" t="inlineStr">
        <is>
          <t>tech</t>
        </is>
      </c>
      <c r="D412" t="inlineStr">
        <is>
          <t>조선비즈</t>
        </is>
      </c>
      <c r="E412" t="inlineStr">
        <is>
          <t>김윤수</t>
        </is>
      </c>
      <c r="F412" t="inlineStr">
        <is>
          <t>[르포] “헬기에서 버려진 탄소섬유 수소차 연료탱크로 재탄생”…탄소섬유 재활용 독자기술 개발한 카텍에이치</t>
        </is>
      </c>
      <c r="G412" s="2">
        <f>HYPERLINK("https://biz.chosun.com/it-science/bio-science/2021/05/03/Z6652QU2MJHVZNVHIOKD4DBA3M/?utm_medium=original&amp;utm_campaign=biz", "Go to Website")</f>
        <v/>
      </c>
      <c r="H412" t="inlineStr"/>
      <c r="I412" t="inlineStr"/>
      <c r="J412" t="inlineStr"/>
      <c r="K412" t="inlineStr"/>
      <c r="L412" t="inlineStr"/>
      <c r="M412" t="inlineStr"/>
      <c r="N412" t="inlineStr"/>
    </row>
    <row r="413">
      <c r="A413" s="1" t="inlineStr">
        <is>
          <t>2021-05-03</t>
        </is>
      </c>
      <c r="B413" t="inlineStr">
        <is>
          <t>news</t>
        </is>
      </c>
      <c r="C413" t="inlineStr">
        <is>
          <t>economy</t>
        </is>
      </c>
      <c r="D413" t="inlineStr">
        <is>
          <t>스포츠조선</t>
        </is>
      </c>
      <c r="E413" t="inlineStr">
        <is>
          <t>김소형</t>
        </is>
      </c>
      <c r="F413" t="inlineStr">
        <is>
          <t>KB국민은행, 고객과 함께하는 KB Green Wave 필(必)환경 캠페인 진행</t>
        </is>
      </c>
      <c r="G413" s="2">
        <f>HYPERLINK("http://sports.chosun.com/news/ntype.htm?id=202105030100019380001124&amp;servicedate=20210503", "Go to Website")</f>
        <v/>
      </c>
      <c r="H413" t="inlineStr"/>
      <c r="I413" t="inlineStr">
        <is>
          <t>K64</t>
        </is>
      </c>
      <c r="J413" s="3" t="n">
        <v>1</v>
      </c>
      <c r="K413" t="inlineStr">
        <is>
          <t>금융업</t>
        </is>
      </c>
      <c r="L413" t="inlineStr"/>
      <c r="M413" t="inlineStr"/>
      <c r="N413" t="inlineStr"/>
    </row>
    <row r="414">
      <c r="A414" s="1" t="inlineStr">
        <is>
          <t>2021-05-03</t>
        </is>
      </c>
      <c r="B414" t="inlineStr">
        <is>
          <t>news</t>
        </is>
      </c>
      <c r="C414" t="inlineStr">
        <is>
          <t>economy</t>
        </is>
      </c>
      <c r="D414" t="inlineStr">
        <is>
          <t>디지털타임스</t>
        </is>
      </c>
      <c r="E414" t="inlineStr"/>
      <c r="F414" t="inlineStr">
        <is>
          <t>바이든發 탄소중립·패권주의…韓 전기차 `기회`, 반도체 `위기`</t>
        </is>
      </c>
      <c r="G414" s="2">
        <f>HYPERLINK("http://www.dt.co.kr/contents.html?article_no=2021050302109958063003", "Go to Website")</f>
        <v/>
      </c>
      <c r="H414" t="inlineStr"/>
      <c r="I414" t="inlineStr">
        <is>
          <t>B06</t>
        </is>
      </c>
      <c r="J414" s="3" t="n">
        <v>0.977</v>
      </c>
      <c r="K414" t="inlineStr">
        <is>
          <t>금속 광업</t>
        </is>
      </c>
      <c r="L414" t="inlineStr"/>
      <c r="M414" t="inlineStr"/>
      <c r="N414" t="inlineStr"/>
    </row>
    <row r="415">
      <c r="A415" s="1" t="inlineStr">
        <is>
          <t>2021-05-03</t>
        </is>
      </c>
      <c r="B415" t="inlineStr">
        <is>
          <t>news</t>
        </is>
      </c>
      <c r="C415" t="inlineStr">
        <is>
          <t>economy</t>
        </is>
      </c>
      <c r="D415" t="inlineStr">
        <is>
          <t>헤럴드경제</t>
        </is>
      </c>
      <c r="E415" t="inlineStr">
        <is>
          <t>원호연</t>
        </is>
      </c>
      <c r="F415" t="inlineStr">
        <is>
          <t>업사이클링 옷 입고 "플라스틱 줄여요"…정의선 회장, '고고챌린지' 동참</t>
        </is>
      </c>
      <c r="G415" s="2">
        <f>HYPERLINK("http://news.heraldcorp.com/view.php?ud=20210503000861", "Go to Website")</f>
        <v/>
      </c>
      <c r="H415" t="inlineStr"/>
      <c r="I415" t="inlineStr">
        <is>
          <t>C28</t>
        </is>
      </c>
      <c r="J415" s="3" t="n">
        <v>0.969</v>
      </c>
      <c r="K415" t="inlineStr">
        <is>
          <t>전기장비 제조업</t>
        </is>
      </c>
      <c r="L415" t="inlineStr"/>
      <c r="M415" t="inlineStr"/>
      <c r="N415" t="inlineStr"/>
    </row>
    <row r="416">
      <c r="A416" s="1" t="inlineStr">
        <is>
          <t>2021-05-03</t>
        </is>
      </c>
      <c r="B416" t="inlineStr">
        <is>
          <t>news</t>
        </is>
      </c>
      <c r="C416" t="inlineStr">
        <is>
          <t>tech</t>
        </is>
      </c>
      <c r="D416" t="inlineStr">
        <is>
          <t>블로터</t>
        </is>
      </c>
      <c r="E416" t="inlineStr">
        <is>
          <t>김성진</t>
        </is>
      </c>
      <c r="F416" t="inlineStr">
        <is>
          <t>‘수소‧전기차’ 소재 만드는 금호석화...‘친환경’으로 미래 준비</t>
        </is>
      </c>
      <c r="G416" s="2">
        <f>HYPERLINK("http://www.bloter.net/newsView/blt202105030014", "Go to Website")</f>
        <v/>
      </c>
      <c r="H416" t="inlineStr"/>
      <c r="I416" t="inlineStr"/>
      <c r="J416" t="inlineStr"/>
      <c r="K416" t="inlineStr"/>
      <c r="L416" t="inlineStr"/>
      <c r="M416" t="inlineStr"/>
      <c r="N416" t="inlineStr"/>
    </row>
    <row r="417">
      <c r="A417" s="1" t="inlineStr">
        <is>
          <t>2021-05-03</t>
        </is>
      </c>
      <c r="B417" t="inlineStr">
        <is>
          <t>news</t>
        </is>
      </c>
      <c r="C417" t="inlineStr">
        <is>
          <t>tech</t>
        </is>
      </c>
      <c r="D417" t="inlineStr">
        <is>
          <t>서울신문</t>
        </is>
      </c>
      <c r="E417" t="inlineStr"/>
      <c r="F417" t="inlineStr">
        <is>
          <t>[고든 정의 TECH+] 초전도 수소항공기 개발에 도전하는 에어버스</t>
        </is>
      </c>
      <c r="G417" s="2">
        <f>HYPERLINK("https://nownews.seoul.co.kr/news/newsView.php?id=20210503601003", "Go to Website")</f>
        <v/>
      </c>
      <c r="H417" t="inlineStr"/>
      <c r="I417" t="inlineStr"/>
      <c r="J417" t="inlineStr"/>
      <c r="K417" t="inlineStr"/>
      <c r="L417" t="inlineStr"/>
      <c r="M417" t="inlineStr"/>
      <c r="N417" t="inlineStr"/>
    </row>
    <row r="418">
      <c r="A418" s="1" t="inlineStr">
        <is>
          <t>2021-05-03</t>
        </is>
      </c>
      <c r="B418" t="inlineStr">
        <is>
          <t>news</t>
        </is>
      </c>
      <c r="C418" t="inlineStr">
        <is>
          <t>economy</t>
        </is>
      </c>
      <c r="D418" t="inlineStr">
        <is>
          <t>조세일보</t>
        </is>
      </c>
      <c r="E418" t="inlineStr"/>
      <c r="F418" t="inlineStr">
        <is>
          <t>KB국민은행, KB Green Wave 환경 캠페인 실시</t>
        </is>
      </c>
      <c r="G418" s="2">
        <f>HYPERLINK("http://www.joseilbo.com/news/news_read.php?uid=422859&amp;class=51", "Go to Website")</f>
        <v/>
      </c>
      <c r="H418" t="inlineStr"/>
      <c r="I418" t="inlineStr">
        <is>
          <t>K64</t>
        </is>
      </c>
      <c r="J418" s="3" t="n">
        <v>1</v>
      </c>
      <c r="K418" t="inlineStr">
        <is>
          <t>금융업</t>
        </is>
      </c>
      <c r="L418" t="inlineStr"/>
      <c r="M418" t="inlineStr"/>
      <c r="N418" t="inlineStr"/>
    </row>
    <row r="419">
      <c r="A419" s="1" t="inlineStr">
        <is>
          <t>2021-05-03</t>
        </is>
      </c>
      <c r="B419" t="inlineStr">
        <is>
          <t>news</t>
        </is>
      </c>
      <c r="C419" t="inlineStr">
        <is>
          <t>economy</t>
        </is>
      </c>
      <c r="D419" t="inlineStr">
        <is>
          <t>아이뉴스24</t>
        </is>
      </c>
      <c r="E419" t="inlineStr">
        <is>
          <t>조석근</t>
        </is>
      </c>
      <c r="F419" t="inlineStr">
        <is>
          <t>금호석유화학, NB라텍스·고형 합성고무 등 핵심소재 R&amp;D 확대</t>
        </is>
      </c>
      <c r="G419" s="2">
        <f>HYPERLINK("http://www.inews24.com/view/1363777", "Go to Website")</f>
        <v/>
      </c>
      <c r="H419" t="inlineStr"/>
      <c r="I419" t="inlineStr">
        <is>
          <t>C20</t>
        </is>
      </c>
      <c r="J419" s="3" t="n">
        <v>0.985</v>
      </c>
      <c r="K419" t="inlineStr">
        <is>
          <t>화학 물질 및 화학제품 제조업; 의약품 제외</t>
        </is>
      </c>
      <c r="L419" t="inlineStr"/>
      <c r="M419" t="inlineStr"/>
      <c r="N419" t="inlineStr"/>
    </row>
    <row r="420">
      <c r="A420" s="1" t="inlineStr">
        <is>
          <t>2021-05-03</t>
        </is>
      </c>
      <c r="B420" t="inlineStr">
        <is>
          <t>news</t>
        </is>
      </c>
      <c r="C420" t="inlineStr">
        <is>
          <t>economy</t>
        </is>
      </c>
      <c r="D420" t="inlineStr">
        <is>
          <t>데일리안</t>
        </is>
      </c>
      <c r="E420" t="inlineStr">
        <is>
          <t>부광우</t>
        </is>
      </c>
      <c r="F420" t="inlineStr">
        <is>
          <t>국민은행, 고객과 함께하는 환경 캠페인 실시</t>
        </is>
      </c>
      <c r="G420" s="2">
        <f>HYPERLINK("https://www.dailian.co.kr/news/view/987774/", "Go to Website")</f>
        <v/>
      </c>
      <c r="H420" t="inlineStr"/>
      <c r="I420" t="inlineStr">
        <is>
          <t>K64</t>
        </is>
      </c>
      <c r="J420" s="3" t="n">
        <v>0.992</v>
      </c>
      <c r="K420" t="inlineStr">
        <is>
          <t>금융업</t>
        </is>
      </c>
      <c r="L420" t="inlineStr"/>
      <c r="M420" t="inlineStr"/>
      <c r="N420" t="inlineStr"/>
    </row>
    <row r="421">
      <c r="A421" s="1" t="inlineStr">
        <is>
          <t>2021-05-03</t>
        </is>
      </c>
      <c r="B421" t="inlineStr">
        <is>
          <t>news</t>
        </is>
      </c>
      <c r="C421" t="inlineStr">
        <is>
          <t>economy</t>
        </is>
      </c>
      <c r="D421" t="inlineStr">
        <is>
          <t>KBS</t>
        </is>
      </c>
      <c r="E421" t="inlineStr"/>
      <c r="F421" t="inlineStr">
        <is>
          <t>광주시, 수소車 충전 인프라 박차</t>
        </is>
      </c>
      <c r="G421" s="2">
        <f>HYPERLINK("https://news.kbs.co.kr/news/view.do?ncd=5176449&amp;ref=A", "Go to Website")</f>
        <v/>
      </c>
      <c r="H421" t="inlineStr"/>
      <c r="I421" t="inlineStr">
        <is>
          <t>R91</t>
        </is>
      </c>
      <c r="J421" s="3" t="n">
        <v>0.425</v>
      </c>
      <c r="K421" t="inlineStr">
        <is>
          <t>스포츠 및 오락관련 서비스업</t>
        </is>
      </c>
      <c r="L421" t="inlineStr"/>
      <c r="M421" t="inlineStr"/>
      <c r="N421" t="inlineStr"/>
    </row>
    <row r="422">
      <c r="A422" s="1" t="inlineStr">
        <is>
          <t>2021-05-03</t>
        </is>
      </c>
      <c r="B422" t="inlineStr">
        <is>
          <t>news</t>
        </is>
      </c>
      <c r="C422" t="inlineStr">
        <is>
          <t>economy</t>
        </is>
      </c>
      <c r="D422" t="inlineStr">
        <is>
          <t>서울신문</t>
        </is>
      </c>
      <c r="E422" t="inlineStr">
        <is>
          <t>임주형</t>
        </is>
      </c>
      <c r="F422" t="inlineStr">
        <is>
          <t>‘서민車 부담 증가’ 반발 예고… “공감대 필요”</t>
        </is>
      </c>
      <c r="G422" s="2">
        <f>HYPERLINK("https://www.seoul.co.kr/news/newsView.php?id=20210503009028", "Go to Website")</f>
        <v/>
      </c>
      <c r="H422" t="inlineStr"/>
      <c r="I422" t="inlineStr">
        <is>
          <t>M71</t>
        </is>
      </c>
      <c r="J422" s="3" t="n">
        <v>0.95</v>
      </c>
      <c r="K422" t="inlineStr">
        <is>
          <t>전문 서비스업</t>
        </is>
      </c>
      <c r="L422" t="inlineStr"/>
      <c r="M422" t="inlineStr"/>
      <c r="N422" t="inlineStr"/>
    </row>
    <row r="423">
      <c r="A423" s="1" t="inlineStr">
        <is>
          <t>2021-05-03</t>
        </is>
      </c>
      <c r="B423" t="inlineStr">
        <is>
          <t>news</t>
        </is>
      </c>
      <c r="C423" t="inlineStr">
        <is>
          <t>economy</t>
        </is>
      </c>
      <c r="D423" t="inlineStr">
        <is>
          <t>서울신문</t>
        </is>
      </c>
      <c r="E423" t="inlineStr">
        <is>
          <t>임주형</t>
        </is>
      </c>
      <c r="F423" t="inlineStr">
        <is>
          <t>경차·출퇴근 통행료 할인, 없애거나 축소 방안 검토</t>
        </is>
      </c>
      <c r="G423" s="2">
        <f>HYPERLINK("https://www.seoul.co.kr/news/newsView.php?id=20210503001008", "Go to Website")</f>
        <v/>
      </c>
      <c r="H423" t="inlineStr"/>
      <c r="I423" t="inlineStr">
        <is>
          <t>C30</t>
        </is>
      </c>
      <c r="J423" s="3" t="n">
        <v>0.573</v>
      </c>
      <c r="K423" t="inlineStr">
        <is>
          <t>자동차 및 트레일러 제조업</t>
        </is>
      </c>
      <c r="L423" t="inlineStr"/>
      <c r="M423" t="inlineStr"/>
      <c r="N423" t="inlineStr"/>
    </row>
    <row r="424">
      <c r="A424" s="1" t="inlineStr">
        <is>
          <t>2021-05-02</t>
        </is>
      </c>
      <c r="B424" t="inlineStr">
        <is>
          <t>news</t>
        </is>
      </c>
      <c r="C424" t="inlineStr">
        <is>
          <t>economy</t>
        </is>
      </c>
      <c r="D424" t="inlineStr">
        <is>
          <t>아시아경제</t>
        </is>
      </c>
      <c r="E424" t="inlineStr">
        <is>
          <t>기하영</t>
        </is>
      </c>
      <c r="F424" t="inlineStr">
        <is>
          <t>[기하영의 생활 속 카드]브랜드 충성고객 노린다…PLCC 출시 봇물</t>
        </is>
      </c>
      <c r="G424" s="2">
        <f>HYPERLINK("https://view.asiae.co.kr/article/2021050217295990513", "Go to Website")</f>
        <v/>
      </c>
      <c r="H424" t="inlineStr"/>
      <c r="I424" t="inlineStr">
        <is>
          <t>K64</t>
        </is>
      </c>
      <c r="J424" s="3" t="n">
        <v>0.527</v>
      </c>
      <c r="K424" t="inlineStr">
        <is>
          <t>금융업</t>
        </is>
      </c>
      <c r="L424" t="inlineStr"/>
      <c r="M424" t="inlineStr"/>
      <c r="N424" t="inlineStr"/>
    </row>
    <row r="425">
      <c r="A425" s="1" t="inlineStr">
        <is>
          <t>2021-05-02</t>
        </is>
      </c>
      <c r="B425" t="inlineStr">
        <is>
          <t>news</t>
        </is>
      </c>
      <c r="C425" t="inlineStr">
        <is>
          <t>economy</t>
        </is>
      </c>
      <c r="D425" t="inlineStr">
        <is>
          <t>이데일리</t>
        </is>
      </c>
      <c r="E425" t="inlineStr">
        <is>
          <t>김무연</t>
        </is>
      </c>
      <c r="F425" t="inlineStr">
        <is>
          <t>꽁초 수거·업무차량 전기차 전환… KT&amp;G, ESG 경영 속도</t>
        </is>
      </c>
      <c r="G425" s="2">
        <f>HYPERLINK("http://www.edaily.co.kr/news/newspath.asp?newsid=02204166629044984", "Go to Website")</f>
        <v/>
      </c>
      <c r="H425" t="inlineStr"/>
      <c r="I425" t="inlineStr">
        <is>
          <t>C12</t>
        </is>
      </c>
      <c r="J425" s="3" t="n">
        <v>1</v>
      </c>
      <c r="K425" t="inlineStr">
        <is>
          <t>담배 제조업</t>
        </is>
      </c>
      <c r="L425" t="inlineStr">
        <is>
          <t>0</t>
        </is>
      </c>
      <c r="M425" s="3" t="n">
        <v>0.8149999999999999</v>
      </c>
      <c r="N425" t="inlineStr">
        <is>
          <t>중립</t>
        </is>
      </c>
    </row>
    <row r="426">
      <c r="A426" s="1" t="inlineStr">
        <is>
          <t>2021-05-02</t>
        </is>
      </c>
      <c r="B426" t="inlineStr">
        <is>
          <t>news</t>
        </is>
      </c>
      <c r="C426" t="inlineStr">
        <is>
          <t>economy</t>
        </is>
      </c>
      <c r="D426" t="inlineStr">
        <is>
          <t>서울신문</t>
        </is>
      </c>
      <c r="E426" t="inlineStr">
        <is>
          <t>임주형</t>
        </is>
      </c>
      <c r="F426" t="inlineStr">
        <is>
          <t>경차, 출퇴근시간 통행요금 할인 폐지·축소되나</t>
        </is>
      </c>
      <c r="G426" s="2">
        <f>HYPERLINK("https://www.seoul.co.kr/news/newsView.php?id=20210502500052", "Go to Website")</f>
        <v/>
      </c>
      <c r="H426" t="inlineStr"/>
      <c r="I426" t="inlineStr">
        <is>
          <t>C30</t>
        </is>
      </c>
      <c r="J426" s="3" t="n">
        <v>0.984</v>
      </c>
      <c r="K426" t="inlineStr">
        <is>
          <t>자동차 및 트레일러 제조업</t>
        </is>
      </c>
      <c r="L426" t="inlineStr"/>
      <c r="M426" t="inlineStr"/>
      <c r="N426" t="inlineStr"/>
    </row>
    <row r="427">
      <c r="A427" s="1" t="inlineStr">
        <is>
          <t>2021-05-02</t>
        </is>
      </c>
      <c r="B427" t="inlineStr">
        <is>
          <t>news</t>
        </is>
      </c>
      <c r="C427" t="inlineStr">
        <is>
          <t>economy</t>
        </is>
      </c>
      <c r="D427" t="inlineStr">
        <is>
          <t>뉴시스</t>
        </is>
      </c>
      <c r="E427" t="inlineStr">
        <is>
          <t>송창헌</t>
        </is>
      </c>
      <c r="F427" t="inlineStr">
        <is>
          <t>광주시, 수소충전소 인프라 박차…2030년까지 50곳</t>
        </is>
      </c>
      <c r="G427" s="2">
        <f>HYPERLINK("http://www.newsis.com/view/?id=NISX20210502_0001427157&amp;cID=13001&amp;pID=13000", "Go to Website")</f>
        <v/>
      </c>
      <c r="H427" t="inlineStr"/>
      <c r="I427" t="inlineStr">
        <is>
          <t>J59</t>
        </is>
      </c>
      <c r="J427" s="3" t="n">
        <v>0.745</v>
      </c>
      <c r="K427" t="inlineStr">
        <is>
          <t>영상ㆍ오디오 기록물 제작 및 배급업</t>
        </is>
      </c>
      <c r="L427" t="inlineStr"/>
      <c r="M427" t="inlineStr"/>
      <c r="N427" t="inlineStr"/>
    </row>
    <row r="428">
      <c r="A428" s="1" t="inlineStr">
        <is>
          <t>2021-05-02</t>
        </is>
      </c>
      <c r="B428" t="inlineStr">
        <is>
          <t>news</t>
        </is>
      </c>
      <c r="C428" t="inlineStr">
        <is>
          <t>economy</t>
        </is>
      </c>
      <c r="D428" t="inlineStr">
        <is>
          <t>연합뉴스</t>
        </is>
      </c>
      <c r="E428" t="inlineStr">
        <is>
          <t>손상원</t>
        </is>
      </c>
      <c r="F428" t="inlineStr">
        <is>
          <t>실증센터·충전소…광주시, 수소차 인프라 구축 속도</t>
        </is>
      </c>
      <c r="G428" s="2">
        <f>HYPERLINK("http://yna.kr/AKR20210430156000054?did=1195m", "Go to Website")</f>
        <v/>
      </c>
      <c r="H428" t="inlineStr"/>
      <c r="I428" t="inlineStr">
        <is>
          <t>J59</t>
        </is>
      </c>
      <c r="J428" s="3" t="n">
        <v>0.625</v>
      </c>
      <c r="K428" t="inlineStr">
        <is>
          <t>영상ㆍ오디오 기록물 제작 및 배급업</t>
        </is>
      </c>
      <c r="L428" t="inlineStr"/>
      <c r="M428" t="inlineStr"/>
      <c r="N428" t="inlineStr"/>
    </row>
    <row r="429">
      <c r="A429" s="1" t="inlineStr">
        <is>
          <t>2021-05-02</t>
        </is>
      </c>
      <c r="B429" t="inlineStr">
        <is>
          <t>news</t>
        </is>
      </c>
      <c r="C429" t="inlineStr">
        <is>
          <t>economy</t>
        </is>
      </c>
      <c r="D429" t="inlineStr">
        <is>
          <t>조선비즈</t>
        </is>
      </c>
      <c r="E429" t="inlineStr"/>
      <c r="F429" t="inlineStr">
        <is>
          <t>‘73조 그린뉴딜’ 신재생 계열사 늘리는 대기업...주력산업 세대교체도 뚜렷</t>
        </is>
      </c>
      <c r="G429" s="2">
        <f>HYPERLINK("https://biz.chosun.com/policy/policy_sub/2021/05/02/RY2VDCIVCVBBZLL2RATQGHOJSA/?utm_medium=original&amp;utm_campaign=biz", "Go to Website")</f>
        <v/>
      </c>
      <c r="H429" t="inlineStr"/>
      <c r="I429" t="inlineStr">
        <is>
          <t>K64</t>
        </is>
      </c>
      <c r="J429" s="3" t="n">
        <v>0.529</v>
      </c>
      <c r="K429" t="inlineStr">
        <is>
          <t>금융업</t>
        </is>
      </c>
      <c r="L429" t="inlineStr"/>
      <c r="M429" t="inlineStr"/>
      <c r="N429" t="inlineStr"/>
    </row>
    <row r="430">
      <c r="A430" s="1" t="inlineStr">
        <is>
          <t>2021-04-30</t>
        </is>
      </c>
      <c r="B430" t="inlineStr">
        <is>
          <t>news</t>
        </is>
      </c>
      <c r="C430" t="inlineStr">
        <is>
          <t>economy</t>
        </is>
      </c>
      <c r="D430" t="inlineStr">
        <is>
          <t>헤럴드경제</t>
        </is>
      </c>
      <c r="E430" t="inlineStr">
        <is>
          <t>원호연</t>
        </is>
      </c>
      <c r="F430" t="inlineStr">
        <is>
          <t>“현대차, 美서 전기차 생산 검토”</t>
        </is>
      </c>
      <c r="G430" s="2">
        <f>HYPERLINK("http://news.heraldcorp.com/view.php?ud=20210430000673", "Go to Website")</f>
        <v/>
      </c>
      <c r="H430" t="inlineStr"/>
      <c r="I430" t="inlineStr">
        <is>
          <t>C30</t>
        </is>
      </c>
      <c r="J430" s="3" t="n">
        <v>0.999</v>
      </c>
      <c r="K430" t="inlineStr">
        <is>
          <t>자동차 및 트레일러 제조업</t>
        </is>
      </c>
      <c r="L430" t="inlineStr">
        <is>
          <t>0</t>
        </is>
      </c>
      <c r="M430" s="3" t="n">
        <v>0.803</v>
      </c>
      <c r="N430" t="inlineStr">
        <is>
          <t>중립</t>
        </is>
      </c>
    </row>
    <row r="431">
      <c r="A431" s="1" t="inlineStr">
        <is>
          <t>2021-04-30</t>
        </is>
      </c>
      <c r="B431" t="inlineStr">
        <is>
          <t>news</t>
        </is>
      </c>
      <c r="C431" t="inlineStr">
        <is>
          <t>economy</t>
        </is>
      </c>
      <c r="D431" t="inlineStr">
        <is>
          <t>헤럴드경제</t>
        </is>
      </c>
      <c r="E431" t="inlineStr">
        <is>
          <t>원호연</t>
        </is>
      </c>
      <c r="F431" t="inlineStr">
        <is>
          <t>현대차 "전기차 미국 생산 검토…보조금이 관건"</t>
        </is>
      </c>
      <c r="G431" s="2">
        <f>HYPERLINK("http://news.heraldcorp.com/view.php?ud=20210430000168", "Go to Website")</f>
        <v/>
      </c>
      <c r="H431" t="inlineStr"/>
      <c r="I431" t="inlineStr">
        <is>
          <t>C30</t>
        </is>
      </c>
      <c r="J431" s="3" t="n">
        <v>0.999</v>
      </c>
      <c r="K431" t="inlineStr">
        <is>
          <t>자동차 및 트레일러 제조업</t>
        </is>
      </c>
      <c r="L431" t="inlineStr">
        <is>
          <t>0</t>
        </is>
      </c>
      <c r="M431" s="3" t="n">
        <v>0.988</v>
      </c>
      <c r="N431" t="inlineStr">
        <is>
          <t>중립</t>
        </is>
      </c>
    </row>
    <row r="432">
      <c r="A432" s="1" t="inlineStr">
        <is>
          <t>2021-04-30</t>
        </is>
      </c>
      <c r="B432" t="inlineStr">
        <is>
          <t>news</t>
        </is>
      </c>
      <c r="C432" t="inlineStr">
        <is>
          <t>economy</t>
        </is>
      </c>
      <c r="D432" t="inlineStr">
        <is>
          <t>이데일리</t>
        </is>
      </c>
      <c r="E432" t="inlineStr">
        <is>
          <t>김윤지</t>
        </is>
      </c>
      <c r="F432" t="inlineStr">
        <is>
          <t>RF머트리얼즈, 모회사 유증·합작사 설립…목표가↑-신한</t>
        </is>
      </c>
      <c r="G432" s="2">
        <f>HYPERLINK("http://www.edaily.co.kr/news/newspath.asp?newsid=01525206629021368", "Go to Website")</f>
        <v/>
      </c>
      <c r="H432" t="inlineStr"/>
      <c r="I432" t="inlineStr">
        <is>
          <t>C26</t>
        </is>
      </c>
      <c r="J432" s="3" t="n">
        <v>0.96</v>
      </c>
      <c r="K432" t="inlineStr">
        <is>
          <t>전자 부품, 컴퓨터, 영상, 음향 및 통신장비 제조업</t>
        </is>
      </c>
      <c r="L432" t="inlineStr"/>
      <c r="M432" t="inlineStr"/>
      <c r="N432" t="inlineStr"/>
    </row>
    <row r="433">
      <c r="A433" s="1" t="inlineStr">
        <is>
          <t>2021-04-29</t>
        </is>
      </c>
      <c r="B433" t="inlineStr">
        <is>
          <t>news</t>
        </is>
      </c>
      <c r="C433" t="inlineStr">
        <is>
          <t>economy</t>
        </is>
      </c>
      <c r="D433" t="inlineStr">
        <is>
          <t>세계일보</t>
        </is>
      </c>
      <c r="E433" t="inlineStr">
        <is>
          <t>이정우</t>
        </is>
      </c>
      <c r="F433" t="inlineStr">
        <is>
          <t>국내 상생형 일자리 1호 ‘광주형’ 출발</t>
        </is>
      </c>
      <c r="G433" s="2">
        <f>HYPERLINK("http://www.segye.com/content/html/2021/04/29/20210429516898.html", "Go to Website")</f>
        <v/>
      </c>
      <c r="H433" t="inlineStr"/>
      <c r="I433" t="inlineStr">
        <is>
          <t>H49</t>
        </is>
      </c>
      <c r="J433" s="3" t="n">
        <v>0.311</v>
      </c>
      <c r="K433" t="inlineStr">
        <is>
          <t>육상 운송 및 파이프라인 운송업</t>
        </is>
      </c>
      <c r="L433" t="inlineStr">
        <is>
          <t>0</t>
        </is>
      </c>
      <c r="M433" s="3" t="n">
        <v>0.995</v>
      </c>
      <c r="N433" t="inlineStr">
        <is>
          <t>중립</t>
        </is>
      </c>
    </row>
    <row r="434">
      <c r="A434" s="1" t="inlineStr">
        <is>
          <t>2021-04-29</t>
        </is>
      </c>
      <c r="B434" t="inlineStr">
        <is>
          <t>news</t>
        </is>
      </c>
      <c r="C434" t="inlineStr">
        <is>
          <t>economy</t>
        </is>
      </c>
      <c r="D434" t="inlineStr">
        <is>
          <t>파이낸셜뉴스</t>
        </is>
      </c>
      <c r="E434" t="inlineStr">
        <is>
          <t>최종근</t>
        </is>
      </c>
      <c r="F434" t="inlineStr">
        <is>
          <t>수소차 ‘넥쏘’ 글로벌 누적 1만5000대 돌파</t>
        </is>
      </c>
      <c r="G434" s="2">
        <f>HYPERLINK("http://www.fnnews.com/news/202104291802229564", "Go to Website")</f>
        <v/>
      </c>
      <c r="H434" t="inlineStr"/>
      <c r="I434" t="inlineStr">
        <is>
          <t>C30</t>
        </is>
      </c>
      <c r="J434" s="3" t="n">
        <v>1</v>
      </c>
      <c r="K434" t="inlineStr">
        <is>
          <t>자동차 및 트레일러 제조업</t>
        </is>
      </c>
      <c r="L434" t="inlineStr">
        <is>
          <t>1</t>
        </is>
      </c>
      <c r="M434" s="3" t="n">
        <v>0.999</v>
      </c>
      <c r="N434" t="inlineStr">
        <is>
          <t>긍정</t>
        </is>
      </c>
    </row>
    <row r="435">
      <c r="A435" s="1" t="inlineStr">
        <is>
          <t>2021-04-29</t>
        </is>
      </c>
      <c r="B435" t="inlineStr">
        <is>
          <t>news</t>
        </is>
      </c>
      <c r="C435" t="inlineStr">
        <is>
          <t>economy</t>
        </is>
      </c>
      <c r="D435" t="inlineStr">
        <is>
          <t>뉴시스</t>
        </is>
      </c>
      <c r="E435" t="inlineStr">
        <is>
          <t>안채원</t>
        </is>
      </c>
      <c r="F435" t="inlineStr">
        <is>
          <t>文 "광주형 일자리, 지역뉴딜 선도…전국 확산 노력할 것"(종합)</t>
        </is>
      </c>
      <c r="G435" s="2">
        <f>HYPERLINK("http://www.newsis.com/view/?id=NISX20210429_0001425128&amp;cID=10301&amp;pID=10300", "Go to Website")</f>
        <v/>
      </c>
      <c r="H435" t="inlineStr"/>
      <c r="I435" t="inlineStr">
        <is>
          <t>K65</t>
        </is>
      </c>
      <c r="J435" s="3" t="n">
        <v>0.961</v>
      </c>
      <c r="K435" t="inlineStr">
        <is>
          <t>보험 및 연금업</t>
        </is>
      </c>
      <c r="L435" t="inlineStr">
        <is>
          <t>0</t>
        </is>
      </c>
      <c r="M435" s="3" t="n">
        <v>0.997</v>
      </c>
      <c r="N435" t="inlineStr">
        <is>
          <t>중립</t>
        </is>
      </c>
    </row>
    <row r="436">
      <c r="A436" s="1" t="inlineStr">
        <is>
          <t>2021-04-29</t>
        </is>
      </c>
      <c r="B436" t="inlineStr">
        <is>
          <t>news</t>
        </is>
      </c>
      <c r="C436" t="inlineStr">
        <is>
          <t>economy</t>
        </is>
      </c>
      <c r="D436" t="inlineStr">
        <is>
          <t>매일경제</t>
        </is>
      </c>
      <c r="E436" t="inlineStr">
        <is>
          <t>임성현</t>
        </is>
      </c>
      <c r="F436" t="inlineStr">
        <is>
          <t>'지역상생 1호'…광주형 일자리 닻올랐다</t>
        </is>
      </c>
      <c r="G436" s="2">
        <f>HYPERLINK("http://news.mk.co.kr/newsRead.php?no=415480&amp;year=2021", "Go to Website")</f>
        <v/>
      </c>
      <c r="H436" t="inlineStr"/>
      <c r="I436" t="inlineStr">
        <is>
          <t>C30</t>
        </is>
      </c>
      <c r="J436" s="3" t="n">
        <v>0.5649999999999999</v>
      </c>
      <c r="K436" t="inlineStr">
        <is>
          <t>자동차 및 트레일러 제조업</t>
        </is>
      </c>
      <c r="L436" t="inlineStr">
        <is>
          <t>0</t>
        </is>
      </c>
      <c r="M436" s="3" t="n">
        <v>0.891</v>
      </c>
      <c r="N436" t="inlineStr">
        <is>
          <t>중립</t>
        </is>
      </c>
    </row>
    <row r="437">
      <c r="A437" s="1" t="inlineStr">
        <is>
          <t>2021-04-29</t>
        </is>
      </c>
      <c r="B437" t="inlineStr">
        <is>
          <t>news</t>
        </is>
      </c>
      <c r="C437" t="inlineStr">
        <is>
          <t>economy</t>
        </is>
      </c>
      <c r="D437" t="inlineStr">
        <is>
          <t>뉴시스</t>
        </is>
      </c>
      <c r="E437" t="inlineStr">
        <is>
          <t>김성진</t>
        </is>
      </c>
      <c r="F437" t="inlineStr">
        <is>
          <t>文 "광주형 일자리, 지역뉴딜 선도…포용국가로 나아갈 것"</t>
        </is>
      </c>
      <c r="G437" s="2">
        <f>HYPERLINK("http://www.newsis.com/view/?id=NISX20210429_0001424843&amp;cID=10301&amp;pID=10300", "Go to Website")</f>
        <v/>
      </c>
      <c r="H437" t="inlineStr"/>
      <c r="I437" t="inlineStr">
        <is>
          <t>K65</t>
        </is>
      </c>
      <c r="J437" s="3" t="n">
        <v>0.799</v>
      </c>
      <c r="K437" t="inlineStr">
        <is>
          <t>보험 및 연금업</t>
        </is>
      </c>
      <c r="L437" t="inlineStr">
        <is>
          <t>0</t>
        </is>
      </c>
      <c r="M437" s="3" t="n">
        <v>1</v>
      </c>
      <c r="N437" t="inlineStr">
        <is>
          <t>중립</t>
        </is>
      </c>
    </row>
    <row r="438">
      <c r="A438" s="1" t="inlineStr">
        <is>
          <t>2021-04-29</t>
        </is>
      </c>
      <c r="B438" t="inlineStr">
        <is>
          <t>news</t>
        </is>
      </c>
      <c r="C438" t="inlineStr">
        <is>
          <t>economy</t>
        </is>
      </c>
      <c r="D438" t="inlineStr">
        <is>
          <t>뉴시스</t>
        </is>
      </c>
      <c r="E438" t="inlineStr">
        <is>
          <t>이창우</t>
        </is>
      </c>
      <c r="F438" t="inlineStr">
        <is>
          <t>'광주형 일자리' 첫 결실…23년 만에 완성차 공장 준공(종합)</t>
        </is>
      </c>
      <c r="G438" s="2">
        <f>HYPERLINK("http://www.newsis.com/view/?id=NISX20210429_0001425004&amp;cID=13001&amp;pID=13000", "Go to Website")</f>
        <v/>
      </c>
      <c r="H438" t="inlineStr"/>
      <c r="I438" t="inlineStr">
        <is>
          <t>100</t>
        </is>
      </c>
      <c r="J438" s="3" t="n">
        <v>0.963</v>
      </c>
      <c r="K438" t="inlineStr">
        <is>
          <t>분류 제외, 기타</t>
        </is>
      </c>
      <c r="L438" t="inlineStr">
        <is>
          <t>1</t>
        </is>
      </c>
      <c r="M438" s="3" t="n">
        <v>0.915</v>
      </c>
      <c r="N438" t="inlineStr">
        <is>
          <t>긍정</t>
        </is>
      </c>
    </row>
    <row r="439">
      <c r="A439" s="1" t="inlineStr">
        <is>
          <t>2021-04-29</t>
        </is>
      </c>
      <c r="B439" t="inlineStr">
        <is>
          <t>news</t>
        </is>
      </c>
      <c r="C439" t="inlineStr">
        <is>
          <t>economy</t>
        </is>
      </c>
      <c r="D439" t="inlineStr">
        <is>
          <t>파이낸셜뉴스</t>
        </is>
      </c>
      <c r="E439" t="inlineStr">
        <is>
          <t>서혜진</t>
        </is>
      </c>
      <c r="F439" t="inlineStr">
        <is>
          <t>IPO 일정 연기 줄이어...공모가 고평가 논란에 심사 강화 탓</t>
        </is>
      </c>
      <c r="G439" s="2">
        <f>HYPERLINK("http://www.fnnews.com/news/202104291429292637", "Go to Website")</f>
        <v/>
      </c>
      <c r="H439" t="inlineStr"/>
      <c r="I439" t="inlineStr">
        <is>
          <t>F41</t>
        </is>
      </c>
      <c r="J439" s="3" t="n">
        <v>0.355</v>
      </c>
      <c r="K439" t="inlineStr">
        <is>
          <t>종합 건설업</t>
        </is>
      </c>
      <c r="L439" t="inlineStr">
        <is>
          <t>-1</t>
        </is>
      </c>
      <c r="M439" s="3" t="n">
        <v>0.843</v>
      </c>
      <c r="N439" t="inlineStr">
        <is>
          <t>부정</t>
        </is>
      </c>
    </row>
    <row r="440">
      <c r="A440" s="1" t="inlineStr">
        <is>
          <t>2021-04-29</t>
        </is>
      </c>
      <c r="B440" t="inlineStr">
        <is>
          <t>news</t>
        </is>
      </c>
      <c r="C440" t="inlineStr">
        <is>
          <t>economy</t>
        </is>
      </c>
      <c r="D440" t="inlineStr">
        <is>
          <t>파이낸셜뉴스</t>
        </is>
      </c>
      <c r="E440" t="inlineStr">
        <is>
          <t>최종근</t>
        </is>
      </c>
      <c r="F440" t="inlineStr">
        <is>
          <t>현대차 수소차 넥쏘 글로벌 누적 1만5000대 돌파</t>
        </is>
      </c>
      <c r="G440" s="2">
        <f>HYPERLINK("http://www.fnnews.com/news/202104271500004503", "Go to Website")</f>
        <v/>
      </c>
      <c r="H440" t="inlineStr"/>
      <c r="I440" t="inlineStr">
        <is>
          <t>C30</t>
        </is>
      </c>
      <c r="J440" s="3" t="n">
        <v>0.999</v>
      </c>
      <c r="K440" t="inlineStr">
        <is>
          <t>자동차 및 트레일러 제조업</t>
        </is>
      </c>
      <c r="L440" t="inlineStr">
        <is>
          <t>1</t>
        </is>
      </c>
      <c r="M440" s="3" t="n">
        <v>1</v>
      </c>
      <c r="N440" t="inlineStr">
        <is>
          <t>긍정</t>
        </is>
      </c>
    </row>
    <row r="441">
      <c r="A441" s="1" t="inlineStr">
        <is>
          <t>2021-04-29</t>
        </is>
      </c>
      <c r="B441" t="inlineStr">
        <is>
          <t>news</t>
        </is>
      </c>
      <c r="C441" t="inlineStr">
        <is>
          <t>economy</t>
        </is>
      </c>
      <c r="D441" t="inlineStr">
        <is>
          <t>파이낸셜뉴스</t>
        </is>
      </c>
      <c r="E441" t="inlineStr">
        <is>
          <t>김용훈</t>
        </is>
      </c>
      <c r="F441" t="inlineStr">
        <is>
          <t>안도걸 기재차관 "내년 예산 '12조원+α' 지출 구조조정"</t>
        </is>
      </c>
      <c r="G441" s="2">
        <f>HYPERLINK("http://www.fnnews.com/news/202104291537527711", "Go to Website")</f>
        <v/>
      </c>
      <c r="H441" t="inlineStr"/>
      <c r="I441" t="inlineStr">
        <is>
          <t>J58</t>
        </is>
      </c>
      <c r="J441" s="3" t="n">
        <v>0.592</v>
      </c>
      <c r="K441" t="inlineStr">
        <is>
          <t>출판업</t>
        </is>
      </c>
      <c r="L441" t="inlineStr"/>
      <c r="M441" t="inlineStr"/>
      <c r="N441" t="inlineStr"/>
    </row>
    <row r="442">
      <c r="A442" s="1" t="inlineStr">
        <is>
          <t>2021-04-29</t>
        </is>
      </c>
      <c r="B442" t="inlineStr">
        <is>
          <t>news</t>
        </is>
      </c>
      <c r="C442" t="inlineStr">
        <is>
          <t>economy</t>
        </is>
      </c>
      <c r="D442" t="inlineStr">
        <is>
          <t>뉴시스</t>
        </is>
      </c>
      <c r="E442" t="inlineStr">
        <is>
          <t>박영주</t>
        </is>
      </c>
      <c r="F442" t="inlineStr">
        <is>
          <t>기재차관 "손실보상 논의 TF 구성…OECD와 공동 연구용역"</t>
        </is>
      </c>
      <c r="G442" s="2">
        <f>HYPERLINK("http://www.newsis.com/view/?id=NISX20210429_0001424741&amp;cID=10401&amp;pID=10400", "Go to Website")</f>
        <v/>
      </c>
      <c r="H442" t="inlineStr"/>
      <c r="I442" t="inlineStr">
        <is>
          <t>100</t>
        </is>
      </c>
      <c r="J442" s="3" t="n">
        <v>0.797</v>
      </c>
      <c r="K442" t="inlineStr">
        <is>
          <t>분류 제외, 기타</t>
        </is>
      </c>
      <c r="L442" t="inlineStr"/>
      <c r="M442" t="inlineStr"/>
      <c r="N442" t="inlineStr"/>
    </row>
    <row r="443">
      <c r="A443" s="1" t="inlineStr">
        <is>
          <t>2021-04-29</t>
        </is>
      </c>
      <c r="B443" t="inlineStr">
        <is>
          <t>news</t>
        </is>
      </c>
      <c r="C443" t="inlineStr">
        <is>
          <t>economy</t>
        </is>
      </c>
      <c r="D443" t="inlineStr">
        <is>
          <t>뉴스1</t>
        </is>
      </c>
      <c r="E443" t="inlineStr">
        <is>
          <t>김혜지</t>
        </is>
      </c>
      <c r="F443" t="inlineStr">
        <is>
          <t>소상공인 '중층 피해지원 체계' 구축한다…연구용역 착수</t>
        </is>
      </c>
      <c r="G443" s="2">
        <f>HYPERLINK("https://www.news1.kr/articles/?4291243", "Go to Website")</f>
        <v/>
      </c>
      <c r="H443" t="inlineStr"/>
      <c r="I443" t="inlineStr">
        <is>
          <t>K65</t>
        </is>
      </c>
      <c r="J443" s="3" t="n">
        <v>0.586</v>
      </c>
      <c r="K443" t="inlineStr">
        <is>
          <t>보험 및 연금업</t>
        </is>
      </c>
      <c r="L443" t="inlineStr"/>
      <c r="M443" t="inlineStr"/>
      <c r="N443" t="inlineStr"/>
    </row>
    <row r="444">
      <c r="A444" s="1" t="inlineStr">
        <is>
          <t>2021-04-29</t>
        </is>
      </c>
      <c r="B444" t="inlineStr">
        <is>
          <t>news</t>
        </is>
      </c>
      <c r="C444" t="inlineStr">
        <is>
          <t>economy</t>
        </is>
      </c>
      <c r="D444" t="inlineStr">
        <is>
          <t>이데일리</t>
        </is>
      </c>
      <c r="E444" t="inlineStr">
        <is>
          <t>이명철</t>
        </is>
      </c>
      <c r="F444" t="inlineStr">
        <is>
          <t>안도걸 기재차관 “내년 12조+@ 지출구조조정, 손실보상제 중층 지원”</t>
        </is>
      </c>
      <c r="G444" s="2">
        <f>HYPERLINK("http://www.edaily.co.kr/news/newspath.asp?newsid=03135686629021040", "Go to Website")</f>
        <v/>
      </c>
      <c r="H444" t="inlineStr"/>
      <c r="I444" t="inlineStr">
        <is>
          <t>A03</t>
        </is>
      </c>
      <c r="J444" s="3" t="n">
        <v>0.91</v>
      </c>
      <c r="K444" t="inlineStr">
        <is>
          <t>어업</t>
        </is>
      </c>
      <c r="L444" t="inlineStr"/>
      <c r="M444" t="inlineStr"/>
      <c r="N444" t="inlineStr"/>
    </row>
    <row r="445">
      <c r="A445" s="1" t="inlineStr">
        <is>
          <t>2021-04-29</t>
        </is>
      </c>
      <c r="B445" t="inlineStr">
        <is>
          <t>news</t>
        </is>
      </c>
      <c r="C445" t="inlineStr">
        <is>
          <t>economy</t>
        </is>
      </c>
      <c r="D445" t="inlineStr">
        <is>
          <t>중앙일보</t>
        </is>
      </c>
      <c r="E445" t="inlineStr"/>
      <c r="F445" t="inlineStr">
        <is>
          <t>[기고] 수소모빌리티, 그리고 누구도 걸어가 보지 못한 길, 하지만 누군가 경험했던 길</t>
        </is>
      </c>
      <c r="G445" s="2">
        <f>HYPERLINK("https://news.joins.com/article/olink/23641563", "Go to Website")</f>
        <v/>
      </c>
      <c r="H445" t="inlineStr"/>
      <c r="I445" t="inlineStr">
        <is>
          <t>100</t>
        </is>
      </c>
      <c r="J445" s="3" t="n">
        <v>0.749</v>
      </c>
      <c r="K445" t="inlineStr">
        <is>
          <t>분류 제외, 기타</t>
        </is>
      </c>
      <c r="L445" t="inlineStr"/>
      <c r="M445" t="inlineStr"/>
      <c r="N445" t="inlineStr"/>
    </row>
    <row r="446">
      <c r="A446" s="1" t="inlineStr">
        <is>
          <t>2021-04-29</t>
        </is>
      </c>
      <c r="B446" t="inlineStr">
        <is>
          <t>news</t>
        </is>
      </c>
      <c r="C446" t="inlineStr">
        <is>
          <t>economy</t>
        </is>
      </c>
      <c r="D446" t="inlineStr">
        <is>
          <t>KBS</t>
        </is>
      </c>
      <c r="E446" t="inlineStr"/>
      <c r="F446" t="inlineStr">
        <is>
          <t>[무등의 아침] 광주도 자동차 생산도시 됐다…자동차 공장 오늘 준공</t>
        </is>
      </c>
      <c r="G446" s="2">
        <f>HYPERLINK("http://news.kbs.co.kr/news/view.do?ncd=5174211&amp;ref=A", "Go to Website")</f>
        <v/>
      </c>
      <c r="H446" t="inlineStr"/>
      <c r="I446" t="inlineStr">
        <is>
          <t>H49</t>
        </is>
      </c>
      <c r="J446" s="3" t="n">
        <v>0.842</v>
      </c>
      <c r="K446" t="inlineStr">
        <is>
          <t>육상 운송 및 파이프라인 운송업</t>
        </is>
      </c>
      <c r="L446" t="inlineStr"/>
      <c r="M446" t="inlineStr"/>
      <c r="N446" t="inlineStr"/>
    </row>
    <row r="447">
      <c r="A447" s="1" t="inlineStr">
        <is>
          <t>2021-04-29</t>
        </is>
      </c>
      <c r="B447" t="inlineStr">
        <is>
          <t>news</t>
        </is>
      </c>
      <c r="C447" t="inlineStr">
        <is>
          <t>economy</t>
        </is>
      </c>
      <c r="D447" t="inlineStr">
        <is>
          <t>부산일보</t>
        </is>
      </c>
      <c r="E447" t="inlineStr">
        <is>
          <t>김영한</t>
        </is>
      </c>
      <c r="F447" t="inlineStr">
        <is>
          <t>성우하이텍·태웅, ‘지역대표 중견기업’으로 선정</t>
        </is>
      </c>
      <c r="G447" s="2">
        <f>HYPERLINK("http://www.busan.com/view/busan/view.php?code=2021042911105206212", "Go to Website")</f>
        <v/>
      </c>
      <c r="H447" t="inlineStr"/>
      <c r="I447" t="inlineStr">
        <is>
          <t>C30</t>
        </is>
      </c>
      <c r="J447" s="3" t="n">
        <v>0.997</v>
      </c>
      <c r="K447" t="inlineStr">
        <is>
          <t>자동차 및 트레일러 제조업</t>
        </is>
      </c>
      <c r="L447" t="inlineStr"/>
      <c r="M447" t="inlineStr"/>
      <c r="N447" t="inlineStr"/>
    </row>
    <row r="448">
      <c r="A448" s="1" t="inlineStr">
        <is>
          <t>2021-04-29</t>
        </is>
      </c>
      <c r="B448" t="inlineStr">
        <is>
          <t>news</t>
        </is>
      </c>
      <c r="C448" t="inlineStr">
        <is>
          <t>economy</t>
        </is>
      </c>
      <c r="D448" t="inlineStr">
        <is>
          <t>이데일리</t>
        </is>
      </c>
      <c r="E448" t="inlineStr">
        <is>
          <t>김영수</t>
        </is>
      </c>
      <c r="F448" t="inlineStr">
        <is>
          <t>코오롱인더스트리, 고부가 소재 삼형제 “잘 나가네”</t>
        </is>
      </c>
      <c r="G448" s="2">
        <f>HYPERLINK("http://www.edaily.co.kr/news/newspath.asp?newsid=01170966629021040", "Go to Website")</f>
        <v/>
      </c>
      <c r="H448" t="inlineStr"/>
      <c r="I448" t="inlineStr">
        <is>
          <t>C20</t>
        </is>
      </c>
      <c r="J448" s="3" t="n">
        <v>0.959</v>
      </c>
      <c r="K448" t="inlineStr">
        <is>
          <t>화학 물질 및 화학제품 제조업; 의약품 제외</t>
        </is>
      </c>
      <c r="L448" t="inlineStr">
        <is>
          <t>1</t>
        </is>
      </c>
      <c r="M448" s="3" t="n">
        <v>0.862</v>
      </c>
      <c r="N448" t="inlineStr">
        <is>
          <t>긍정</t>
        </is>
      </c>
    </row>
    <row r="449">
      <c r="A449" s="1" t="inlineStr">
        <is>
          <t>2021-04-29</t>
        </is>
      </c>
      <c r="B449" t="inlineStr">
        <is>
          <t>news</t>
        </is>
      </c>
      <c r="C449" t="inlineStr">
        <is>
          <t>economy</t>
        </is>
      </c>
      <c r="D449" t="inlineStr">
        <is>
          <t>동아일보</t>
        </is>
      </c>
      <c r="E449" t="inlineStr">
        <is>
          <t>김형민</t>
        </is>
      </c>
      <c r="F449" t="inlineStr">
        <is>
          <t>저축은행 업계 최초 ‘무공해차’ 도입</t>
        </is>
      </c>
      <c r="G449" s="2">
        <f>HYPERLINK("https://www.donga.com/news/article/all/20210428/106650230/1", "Go to Website")</f>
        <v/>
      </c>
      <c r="H449" t="inlineStr"/>
      <c r="I449" t="inlineStr">
        <is>
          <t>K64</t>
        </is>
      </c>
      <c r="J449" s="3" t="n">
        <v>1</v>
      </c>
      <c r="K449" t="inlineStr">
        <is>
          <t>금융업</t>
        </is>
      </c>
      <c r="L449" t="inlineStr"/>
      <c r="M449" t="inlineStr"/>
      <c r="N449" t="inlineStr"/>
    </row>
    <row r="450">
      <c r="A450" s="1" t="inlineStr">
        <is>
          <t>2021-04-28</t>
        </is>
      </c>
      <c r="B450" t="inlineStr">
        <is>
          <t>news</t>
        </is>
      </c>
      <c r="C450" t="inlineStr">
        <is>
          <t>economy</t>
        </is>
      </c>
      <c r="D450" t="inlineStr">
        <is>
          <t>한국일보</t>
        </is>
      </c>
      <c r="E450" t="inlineStr">
        <is>
          <t>류종은</t>
        </is>
      </c>
      <c r="F450" t="inlineStr">
        <is>
          <t>한국, 수소전기차 보급률 세계 1위인데… 인프라 수준은 뒤에서 2등</t>
        </is>
      </c>
      <c r="G450" s="2">
        <f>HYPERLINK("https://hankookilbo.com/News/Read/A2021042809350005972?did=NA", "Go to Website")</f>
        <v/>
      </c>
      <c r="H450" t="inlineStr"/>
      <c r="I450" t="inlineStr">
        <is>
          <t>N76</t>
        </is>
      </c>
      <c r="J450" s="3" t="n">
        <v>0.861</v>
      </c>
      <c r="K450" t="inlineStr">
        <is>
          <t>임대업; 부동산 제외</t>
        </is>
      </c>
      <c r="L450" t="inlineStr">
        <is>
          <t>0</t>
        </is>
      </c>
      <c r="M450" s="3" t="n">
        <v>0.912</v>
      </c>
      <c r="N450" t="inlineStr">
        <is>
          <t>중립</t>
        </is>
      </c>
    </row>
    <row r="451">
      <c r="A451" s="1" t="inlineStr">
        <is>
          <t>2021-04-28</t>
        </is>
      </c>
      <c r="B451" t="inlineStr">
        <is>
          <t>news</t>
        </is>
      </c>
      <c r="C451" t="inlineStr">
        <is>
          <t>economy</t>
        </is>
      </c>
      <c r="D451" t="inlineStr">
        <is>
          <t>서울경제</t>
        </is>
      </c>
      <c r="E451" t="inlineStr">
        <is>
          <t>박호현</t>
        </is>
      </c>
      <c r="F451" t="inlineStr">
        <is>
          <t>"이제는 必환경"...공장 폐수 재활용하고 '100% 분해' 종이컵 개발</t>
        </is>
      </c>
      <c r="G451" s="2">
        <f>HYPERLINK("https://www.sedaily.com/NewsView/22L9EEJTK5", "Go to Website")</f>
        <v/>
      </c>
      <c r="H451" t="inlineStr"/>
      <c r="I451" t="inlineStr">
        <is>
          <t>J59</t>
        </is>
      </c>
      <c r="J451" s="3" t="n">
        <v>0.551</v>
      </c>
      <c r="K451" t="inlineStr">
        <is>
          <t>영상ㆍ오디오 기록물 제작 및 배급업</t>
        </is>
      </c>
      <c r="L451" t="inlineStr"/>
      <c r="M451" t="inlineStr"/>
      <c r="N451" t="inlineStr"/>
    </row>
    <row r="452">
      <c r="A452" s="1" t="inlineStr">
        <is>
          <t>2021-04-28</t>
        </is>
      </c>
      <c r="B452" t="inlineStr">
        <is>
          <t>news</t>
        </is>
      </c>
      <c r="C452" t="inlineStr">
        <is>
          <t>economy</t>
        </is>
      </c>
      <c r="D452" t="inlineStr">
        <is>
          <t>서울경제</t>
        </is>
      </c>
      <c r="E452" t="inlineStr">
        <is>
          <t>박형윤</t>
        </is>
      </c>
      <c r="F452" t="inlineStr">
        <is>
          <t>코오롱인더, ESG경영 상위 5% 들었다</t>
        </is>
      </c>
      <c r="G452" s="2">
        <f>HYPERLINK("https://www.sedaily.com/NewsView/22L9DZZMAD", "Go to Website")</f>
        <v/>
      </c>
      <c r="H452" t="inlineStr"/>
      <c r="I452" t="inlineStr">
        <is>
          <t>C20</t>
        </is>
      </c>
      <c r="J452" s="3" t="n">
        <v>1</v>
      </c>
      <c r="K452" t="inlineStr">
        <is>
          <t>화학 물질 및 화학제품 제조업; 의약품 제외</t>
        </is>
      </c>
      <c r="L452" t="inlineStr">
        <is>
          <t>0</t>
        </is>
      </c>
      <c r="M452" s="3" t="n">
        <v>0.973</v>
      </c>
      <c r="N452" t="inlineStr">
        <is>
          <t>중립</t>
        </is>
      </c>
    </row>
    <row r="453">
      <c r="A453" s="1" t="inlineStr">
        <is>
          <t>2021-04-28</t>
        </is>
      </c>
      <c r="B453" t="inlineStr">
        <is>
          <t>news</t>
        </is>
      </c>
      <c r="C453" t="inlineStr">
        <is>
          <t>economy</t>
        </is>
      </c>
      <c r="D453" t="inlineStr">
        <is>
          <t>뉴시스</t>
        </is>
      </c>
      <c r="E453" t="inlineStr">
        <is>
          <t>이창우</t>
        </is>
      </c>
      <c r="F453" t="inlineStr">
        <is>
          <t>광주글로벌모터스 내일 준공…23년 만에 국내 완성차 공장</t>
        </is>
      </c>
      <c r="G453" s="2">
        <f>HYPERLINK("http://www.newsis.com/view/?id=NISX20210428_0001423257&amp;cID=13001&amp;pID=13000", "Go to Website")</f>
        <v/>
      </c>
      <c r="H453" t="inlineStr"/>
      <c r="I453" t="inlineStr">
        <is>
          <t>100</t>
        </is>
      </c>
      <c r="J453" s="3" t="n">
        <v>0.6820000000000001</v>
      </c>
      <c r="K453" t="inlineStr">
        <is>
          <t>분류 제외, 기타</t>
        </is>
      </c>
      <c r="L453" t="inlineStr">
        <is>
          <t>1</t>
        </is>
      </c>
      <c r="M453" s="3" t="n">
        <v>0.858</v>
      </c>
      <c r="N453" t="inlineStr">
        <is>
          <t>긍정</t>
        </is>
      </c>
    </row>
    <row r="454">
      <c r="A454" s="1" t="inlineStr">
        <is>
          <t>2021-04-28</t>
        </is>
      </c>
      <c r="B454" t="inlineStr">
        <is>
          <t>news</t>
        </is>
      </c>
      <c r="C454" t="inlineStr">
        <is>
          <t>economy</t>
        </is>
      </c>
      <c r="D454" t="inlineStr">
        <is>
          <t>연합뉴스</t>
        </is>
      </c>
      <c r="E454" t="inlineStr">
        <is>
          <t>송형일</t>
        </is>
      </c>
      <c r="F454" t="inlineStr">
        <is>
          <t>전국 최초 노사 상생형 기업, 광주글로벌모터스 29일 준공</t>
        </is>
      </c>
      <c r="G454" s="2">
        <f>HYPERLINK("http://yna.kr/AKR20210428119900054?did=1195m", "Go to Website")</f>
        <v/>
      </c>
      <c r="H454" t="inlineStr"/>
      <c r="I454" t="inlineStr">
        <is>
          <t>100</t>
        </is>
      </c>
      <c r="J454" s="3" t="n">
        <v>0.645</v>
      </c>
      <c r="K454" t="inlineStr">
        <is>
          <t>분류 제외, 기타</t>
        </is>
      </c>
      <c r="L454" t="inlineStr"/>
      <c r="M454" t="inlineStr"/>
      <c r="N454" t="inlineStr"/>
    </row>
    <row r="455">
      <c r="A455" s="1" t="inlineStr">
        <is>
          <t>2021-04-28</t>
        </is>
      </c>
      <c r="B455" t="inlineStr">
        <is>
          <t>news</t>
        </is>
      </c>
      <c r="C455" t="inlineStr">
        <is>
          <t>economy</t>
        </is>
      </c>
      <c r="D455" t="inlineStr">
        <is>
          <t>중앙일보</t>
        </is>
      </c>
      <c r="E455" t="inlineStr">
        <is>
          <t>강기헌</t>
        </is>
      </c>
      <c r="F455" t="inlineStr">
        <is>
          <t>허세홍 GS칼텍스 대표, 어린이 교통안전 릴레이 챌린지 동참</t>
        </is>
      </c>
      <c r="G455" s="2">
        <f>HYPERLINK("https://news.joins.com/article/olink/23640539", "Go to Website")</f>
        <v/>
      </c>
      <c r="H455" t="inlineStr"/>
      <c r="I455" t="inlineStr">
        <is>
          <t>C20</t>
        </is>
      </c>
      <c r="J455" s="3" t="n">
        <v>0.502</v>
      </c>
      <c r="K455" t="inlineStr">
        <is>
          <t>화학 물질 및 화학제품 제조업; 의약품 제외</t>
        </is>
      </c>
      <c r="L455" t="inlineStr">
        <is>
          <t>0</t>
        </is>
      </c>
      <c r="M455" s="3" t="n">
        <v>0.961</v>
      </c>
      <c r="N455" t="inlineStr">
        <is>
          <t>중립</t>
        </is>
      </c>
    </row>
    <row r="456">
      <c r="A456" s="1" t="inlineStr">
        <is>
          <t>2021-04-28</t>
        </is>
      </c>
      <c r="B456" t="inlineStr">
        <is>
          <t>news</t>
        </is>
      </c>
      <c r="C456" t="inlineStr">
        <is>
          <t>economy</t>
        </is>
      </c>
      <c r="D456" t="inlineStr">
        <is>
          <t>데일리안</t>
        </is>
      </c>
      <c r="E456" t="inlineStr">
        <is>
          <t>조인영</t>
        </is>
      </c>
      <c r="F456" t="inlineStr">
        <is>
          <t>"수소차 보급 1위 韓, 충전인프라는 미흡"</t>
        </is>
      </c>
      <c r="G456" s="2">
        <f>HYPERLINK("https://www.dailian.co.kr/news/view/986253/", "Go to Website")</f>
        <v/>
      </c>
      <c r="H456" t="inlineStr"/>
      <c r="I456" t="inlineStr">
        <is>
          <t>N76</t>
        </is>
      </c>
      <c r="J456" s="3" t="n">
        <v>0.711</v>
      </c>
      <c r="K456" t="inlineStr">
        <is>
          <t>임대업; 부동산 제외</t>
        </is>
      </c>
      <c r="L456" t="inlineStr">
        <is>
          <t>0</t>
        </is>
      </c>
      <c r="M456" s="3" t="n">
        <v>0.875</v>
      </c>
      <c r="N456" t="inlineStr">
        <is>
          <t>중립</t>
        </is>
      </c>
    </row>
    <row r="457">
      <c r="A457" s="1" t="inlineStr">
        <is>
          <t>2021-04-28</t>
        </is>
      </c>
      <c r="B457" t="inlineStr">
        <is>
          <t>news</t>
        </is>
      </c>
      <c r="C457" t="inlineStr">
        <is>
          <t>economy</t>
        </is>
      </c>
      <c r="D457" t="inlineStr">
        <is>
          <t>한국경제</t>
        </is>
      </c>
      <c r="E457" t="inlineStr">
        <is>
          <t>한경닷컴</t>
        </is>
      </c>
      <c r="F457" t="inlineStr">
        <is>
          <t>한국, 수소차 보급은 세계 1등…충전 여건은 뒤에서 2등</t>
        </is>
      </c>
      <c r="G457" s="2">
        <f>HYPERLINK("https://www.hankyung.com/economy/article/202104285784g", "Go to Website")</f>
        <v/>
      </c>
      <c r="H457" t="inlineStr"/>
      <c r="I457" t="inlineStr">
        <is>
          <t>H49</t>
        </is>
      </c>
      <c r="J457" s="3" t="n">
        <v>0.412</v>
      </c>
      <c r="K457" t="inlineStr">
        <is>
          <t>육상 운송 및 파이프라인 운송업</t>
        </is>
      </c>
      <c r="L457" t="inlineStr"/>
      <c r="M457" t="inlineStr"/>
      <c r="N457" t="inlineStr"/>
    </row>
    <row r="458">
      <c r="A458" s="1" t="inlineStr">
        <is>
          <t>2021-04-28</t>
        </is>
      </c>
      <c r="B458" t="inlineStr">
        <is>
          <t>news</t>
        </is>
      </c>
      <c r="C458" t="inlineStr">
        <is>
          <t>economy</t>
        </is>
      </c>
      <c r="D458" t="inlineStr">
        <is>
          <t>SBS</t>
        </is>
      </c>
      <c r="E458" t="inlineStr">
        <is>
          <t>한지연</t>
        </is>
      </c>
      <c r="F458" t="inlineStr">
        <is>
          <t>1분기 경제성장률 1.6%…"코로나 이전으로 회복"</t>
        </is>
      </c>
      <c r="G458" s="2">
        <f>HYPERLINK("https://news.sbs.co.kr/news/endPage.do?news_id=N1006299467", "Go to Website")</f>
        <v/>
      </c>
      <c r="H458" t="inlineStr"/>
      <c r="I458" t="inlineStr">
        <is>
          <t>Q86</t>
        </is>
      </c>
      <c r="J458" s="3" t="n">
        <v>0.972</v>
      </c>
      <c r="K458" t="inlineStr">
        <is>
          <t>보건업</t>
        </is>
      </c>
      <c r="L458" t="inlineStr">
        <is>
          <t>0</t>
        </is>
      </c>
      <c r="M458" s="3" t="n">
        <v>0.98</v>
      </c>
      <c r="N458" t="inlineStr">
        <is>
          <t>중립</t>
        </is>
      </c>
    </row>
    <row r="459">
      <c r="A459" s="1" t="inlineStr">
        <is>
          <t>2021-04-28</t>
        </is>
      </c>
      <c r="B459" t="inlineStr">
        <is>
          <t>news</t>
        </is>
      </c>
      <c r="C459" t="inlineStr">
        <is>
          <t>economy</t>
        </is>
      </c>
      <c r="D459" t="inlineStr">
        <is>
          <t>헤럴드경제</t>
        </is>
      </c>
      <c r="E459" t="inlineStr">
        <is>
          <t>이권형</t>
        </is>
      </c>
      <c r="F459" t="inlineStr">
        <is>
          <t>대전시, 2022년 세계지방정부연합(UCLG) 총회 준비작업 ‘순항~’</t>
        </is>
      </c>
      <c r="G459" s="2">
        <f>HYPERLINK("http://news.heraldcorp.com/view.php?ud=20210428000735", "Go to Website")</f>
        <v/>
      </c>
      <c r="H459" t="inlineStr"/>
      <c r="I459" t="inlineStr">
        <is>
          <t>100</t>
        </is>
      </c>
      <c r="J459" s="3" t="n">
        <v>0.602</v>
      </c>
      <c r="K459" t="inlineStr">
        <is>
          <t>분류 제외, 기타</t>
        </is>
      </c>
      <c r="L459" t="inlineStr"/>
      <c r="M459" t="inlineStr"/>
      <c r="N459" t="inlineStr"/>
    </row>
    <row r="460">
      <c r="A460" s="1" t="inlineStr">
        <is>
          <t>2021-04-28</t>
        </is>
      </c>
      <c r="B460" t="inlineStr">
        <is>
          <t>news</t>
        </is>
      </c>
      <c r="C460" t="inlineStr">
        <is>
          <t>economy</t>
        </is>
      </c>
      <c r="D460" t="inlineStr">
        <is>
          <t>머니S</t>
        </is>
      </c>
      <c r="E460" t="inlineStr">
        <is>
          <t>조승예</t>
        </is>
      </c>
      <c r="F460" t="inlineStr">
        <is>
          <t>"수소 테마주에 투자" NH-아문디자산운용, 글로벌 수소 밸류체인 펀드 출시</t>
        </is>
      </c>
      <c r="G460" s="2">
        <f>HYPERLINK("http://moneys.mt.co.kr/news/mwView.php?no=2021042811238040758", "Go to Website")</f>
        <v/>
      </c>
      <c r="H460" t="inlineStr"/>
      <c r="I460" t="inlineStr">
        <is>
          <t>K64</t>
        </is>
      </c>
      <c r="J460" s="3" t="n">
        <v>1</v>
      </c>
      <c r="K460" t="inlineStr">
        <is>
          <t>금융업</t>
        </is>
      </c>
      <c r="L460" t="inlineStr">
        <is>
          <t>1</t>
        </is>
      </c>
      <c r="M460" s="3" t="n">
        <v>0.916</v>
      </c>
      <c r="N460" t="inlineStr">
        <is>
          <t>긍정</t>
        </is>
      </c>
    </row>
    <row r="461">
      <c r="A461" s="1" t="inlineStr">
        <is>
          <t>2021-04-28</t>
        </is>
      </c>
      <c r="B461" t="inlineStr">
        <is>
          <t>news</t>
        </is>
      </c>
      <c r="C461" t="inlineStr">
        <is>
          <t>economy</t>
        </is>
      </c>
      <c r="D461" t="inlineStr">
        <is>
          <t>헤럴드경제</t>
        </is>
      </c>
      <c r="E461" t="inlineStr">
        <is>
          <t>이태형</t>
        </is>
      </c>
      <c r="F461" t="inlineStr">
        <is>
          <t>‘NH-Amundi 글로벌 수소 밸류체인 펀드’ 출시</t>
        </is>
      </c>
      <c r="G461" s="2">
        <f>HYPERLINK("http://news.heraldcorp.com/view.php?ud=20210428000592", "Go to Website")</f>
        <v/>
      </c>
      <c r="H461" t="inlineStr"/>
      <c r="I461" t="inlineStr">
        <is>
          <t>K64</t>
        </is>
      </c>
      <c r="J461" s="3" t="n">
        <v>1</v>
      </c>
      <c r="K461" t="inlineStr">
        <is>
          <t>금융업</t>
        </is>
      </c>
      <c r="L461" t="inlineStr"/>
      <c r="M461" t="inlineStr"/>
      <c r="N461" t="inlineStr"/>
    </row>
    <row r="462">
      <c r="A462" s="1" t="inlineStr">
        <is>
          <t>2021-04-28</t>
        </is>
      </c>
      <c r="B462" t="inlineStr">
        <is>
          <t>news</t>
        </is>
      </c>
      <c r="C462" t="inlineStr">
        <is>
          <t>economy</t>
        </is>
      </c>
      <c r="D462" t="inlineStr">
        <is>
          <t>서울경제</t>
        </is>
      </c>
      <c r="E462" t="inlineStr">
        <is>
          <t>양사록</t>
        </is>
      </c>
      <c r="F462" t="inlineStr">
        <is>
          <t>NH-Amundi자산운용, 글로벌 수소 밸류체인 펀드 출시</t>
        </is>
      </c>
      <c r="G462" s="2">
        <f>HYPERLINK("https://www.sedaily.com/NewsView/22L9CD9XS7", "Go to Website")</f>
        <v/>
      </c>
      <c r="H462" t="inlineStr"/>
      <c r="I462" t="inlineStr">
        <is>
          <t>K64</t>
        </is>
      </c>
      <c r="J462" s="3" t="n">
        <v>1</v>
      </c>
      <c r="K462" t="inlineStr">
        <is>
          <t>금융업</t>
        </is>
      </c>
      <c r="L462" t="inlineStr">
        <is>
          <t>1</t>
        </is>
      </c>
      <c r="M462" s="3" t="n">
        <v>0.986</v>
      </c>
      <c r="N462" t="inlineStr">
        <is>
          <t>긍정</t>
        </is>
      </c>
    </row>
    <row r="463">
      <c r="A463" s="1" t="inlineStr">
        <is>
          <t>2021-04-28</t>
        </is>
      </c>
      <c r="B463" t="inlineStr">
        <is>
          <t>news</t>
        </is>
      </c>
      <c r="C463" t="inlineStr">
        <is>
          <t>economy</t>
        </is>
      </c>
      <c r="D463" t="inlineStr">
        <is>
          <t>조선비즈</t>
        </is>
      </c>
      <c r="E463" t="inlineStr">
        <is>
          <t>권유정</t>
        </is>
      </c>
      <c r="F463" t="inlineStr">
        <is>
          <t>NH-아문디자산운용, 글로벌 수소 밸류체인 펀드 출시</t>
        </is>
      </c>
      <c r="G463" s="2">
        <f>HYPERLINK("https://biz.chosun.com/stock/stock_general/2021/04/28/6XGFBT6BZRC5NKGRFGFCLLKUTE/?utm_medium=original&amp;utm_campaign=biz", "Go to Website")</f>
        <v/>
      </c>
      <c r="H463" t="inlineStr"/>
      <c r="I463" t="inlineStr">
        <is>
          <t>K64</t>
        </is>
      </c>
      <c r="J463" s="3" t="n">
        <v>1</v>
      </c>
      <c r="K463" t="inlineStr">
        <is>
          <t>금융업</t>
        </is>
      </c>
      <c r="L463" t="inlineStr">
        <is>
          <t>1</t>
        </is>
      </c>
      <c r="M463" s="3" t="n">
        <v>0.971</v>
      </c>
      <c r="N463" t="inlineStr">
        <is>
          <t>긍정</t>
        </is>
      </c>
    </row>
    <row r="464">
      <c r="A464" s="1" t="inlineStr">
        <is>
          <t>2021-04-28</t>
        </is>
      </c>
      <c r="B464" t="inlineStr">
        <is>
          <t>news</t>
        </is>
      </c>
      <c r="C464" t="inlineStr">
        <is>
          <t>economy</t>
        </is>
      </c>
      <c r="D464" t="inlineStr">
        <is>
          <t>머니투데이</t>
        </is>
      </c>
      <c r="E464" t="inlineStr">
        <is>
          <t>구경민</t>
        </is>
      </c>
      <c r="F464" t="inlineStr">
        <is>
          <t>NH-Amundi자산운용, 글로벌 수소 밸류체인 펀드 출시</t>
        </is>
      </c>
      <c r="G464" s="2">
        <f>HYPERLINK("http://news.mt.co.kr/mtview.php?no=2021042810373214593", "Go to Website")</f>
        <v/>
      </c>
      <c r="H464" t="inlineStr"/>
      <c r="I464" t="inlineStr">
        <is>
          <t>K64</t>
        </is>
      </c>
      <c r="J464" s="3" t="n">
        <v>1</v>
      </c>
      <c r="K464" t="inlineStr">
        <is>
          <t>금융업</t>
        </is>
      </c>
      <c r="L464" t="inlineStr">
        <is>
          <t>1</t>
        </is>
      </c>
      <c r="M464" s="3" t="n">
        <v>0.947</v>
      </c>
      <c r="N464" t="inlineStr">
        <is>
          <t>긍정</t>
        </is>
      </c>
    </row>
    <row r="465">
      <c r="A465" s="1" t="inlineStr">
        <is>
          <t>2021-04-28</t>
        </is>
      </c>
      <c r="B465" t="inlineStr">
        <is>
          <t>news</t>
        </is>
      </c>
      <c r="C465" t="inlineStr">
        <is>
          <t>economy</t>
        </is>
      </c>
      <c r="D465" t="inlineStr">
        <is>
          <t>연합뉴스</t>
        </is>
      </c>
      <c r="E465" t="inlineStr">
        <is>
          <t>최평천</t>
        </is>
      </c>
      <c r="F465" t="inlineStr">
        <is>
          <t>"수소차 3대 중 1대가 한국서 운행되는데…충전 인프라는 부족"</t>
        </is>
      </c>
      <c r="G465" s="2">
        <f>HYPERLINK("http://yna.kr/AKR20210428064300003?did=1195m", "Go to Website")</f>
        <v/>
      </c>
      <c r="H465" t="inlineStr"/>
      <c r="I465" t="inlineStr">
        <is>
          <t>C30</t>
        </is>
      </c>
      <c r="J465" s="3" t="n">
        <v>0.636</v>
      </c>
      <c r="K465" t="inlineStr">
        <is>
          <t>자동차 및 트레일러 제조업</t>
        </is>
      </c>
      <c r="L465" t="inlineStr">
        <is>
          <t>0</t>
        </is>
      </c>
      <c r="M465" s="3" t="n">
        <v>0.9340000000000001</v>
      </c>
      <c r="N465" t="inlineStr">
        <is>
          <t>중립</t>
        </is>
      </c>
    </row>
    <row r="466">
      <c r="A466" s="1" t="inlineStr">
        <is>
          <t>2021-04-28</t>
        </is>
      </c>
      <c r="B466" t="inlineStr">
        <is>
          <t>news</t>
        </is>
      </c>
      <c r="C466" t="inlineStr">
        <is>
          <t>economy</t>
        </is>
      </c>
      <c r="D466" t="inlineStr">
        <is>
          <t>한국경제TV</t>
        </is>
      </c>
      <c r="E466" t="inlineStr">
        <is>
          <t>오민지</t>
        </is>
      </c>
      <c r="F466" t="inlineStr">
        <is>
          <t>NH-아문디운용, 글로벌 수소 밸류체인 펀드 출시</t>
        </is>
      </c>
      <c r="G466" s="2">
        <f>HYPERLINK("http://www.wowtv.co.kr/NewsCenter/News/Read?articleId=A202104280107&amp;t=NN", "Go to Website")</f>
        <v/>
      </c>
      <c r="H466" t="inlineStr"/>
      <c r="I466" t="inlineStr">
        <is>
          <t>K64</t>
        </is>
      </c>
      <c r="J466" s="3" t="n">
        <v>1</v>
      </c>
      <c r="K466" t="inlineStr">
        <is>
          <t>금융업</t>
        </is>
      </c>
      <c r="L466" t="inlineStr"/>
      <c r="M466" t="inlineStr"/>
      <c r="N466" t="inlineStr"/>
    </row>
    <row r="467">
      <c r="A467" s="1" t="inlineStr">
        <is>
          <t>2021-04-28</t>
        </is>
      </c>
      <c r="B467" t="inlineStr">
        <is>
          <t>news</t>
        </is>
      </c>
      <c r="C467" t="inlineStr">
        <is>
          <t>economy</t>
        </is>
      </c>
      <c r="D467" t="inlineStr">
        <is>
          <t>세계일보</t>
        </is>
      </c>
      <c r="E467" t="inlineStr"/>
      <c r="F467" t="inlineStr">
        <is>
          <t>ESG는 규제가 아니라 새로운 사업기회 [ESG, 경제의 뉴노멀] (1)</t>
        </is>
      </c>
      <c r="G467" s="2">
        <f>HYPERLINK("http://www.segye.com/content/html/2021/04/27/20210427516252.html", "Go to Website")</f>
        <v/>
      </c>
      <c r="H467" t="inlineStr"/>
      <c r="I467" t="inlineStr">
        <is>
          <t>100</t>
        </is>
      </c>
      <c r="J467" s="3" t="n">
        <v>0.489</v>
      </c>
      <c r="K467" t="inlineStr">
        <is>
          <t>분류 제외, 기타</t>
        </is>
      </c>
      <c r="L467" t="inlineStr">
        <is>
          <t>0</t>
        </is>
      </c>
      <c r="M467" s="3" t="n">
        <v>0.993</v>
      </c>
      <c r="N467" t="inlineStr">
        <is>
          <t>중립</t>
        </is>
      </c>
    </row>
    <row r="468">
      <c r="A468" s="1" t="inlineStr">
        <is>
          <t>2021-04-28</t>
        </is>
      </c>
      <c r="B468" t="inlineStr">
        <is>
          <t>news</t>
        </is>
      </c>
      <c r="C468" t="inlineStr">
        <is>
          <t>economy</t>
        </is>
      </c>
      <c r="D468" t="inlineStr">
        <is>
          <t>아이뉴스24</t>
        </is>
      </c>
      <c r="E468" t="inlineStr">
        <is>
          <t>김종성</t>
        </is>
      </c>
      <c r="F468" t="inlineStr">
        <is>
          <t>NH-Amundi자산운용, 글로벌 수소 밸류체인 펀드 출시</t>
        </is>
      </c>
      <c r="G468" s="2">
        <f>HYPERLINK("http://www.inews24.com/view/1362367", "Go to Website")</f>
        <v/>
      </c>
      <c r="H468" t="inlineStr"/>
      <c r="I468" t="inlineStr">
        <is>
          <t>K64</t>
        </is>
      </c>
      <c r="J468" s="3" t="n">
        <v>1</v>
      </c>
      <c r="K468" t="inlineStr">
        <is>
          <t>금융업</t>
        </is>
      </c>
      <c r="L468" t="inlineStr"/>
      <c r="M468" t="inlineStr"/>
      <c r="N468" t="inlineStr"/>
    </row>
    <row r="469">
      <c r="A469" s="1" t="inlineStr">
        <is>
          <t>2021-04-28</t>
        </is>
      </c>
      <c r="B469" t="inlineStr">
        <is>
          <t>news</t>
        </is>
      </c>
      <c r="C469" t="inlineStr">
        <is>
          <t>economy</t>
        </is>
      </c>
      <c r="D469" t="inlineStr">
        <is>
          <t>헤럴드경제</t>
        </is>
      </c>
      <c r="E469" t="inlineStr">
        <is>
          <t>원호연</t>
        </is>
      </c>
      <c r="F469" t="inlineStr">
        <is>
          <t>수소차 세계 1위 한국, 충전 여건은 뒤에서 2등</t>
        </is>
      </c>
      <c r="G469" s="2">
        <f>HYPERLINK("http://news.heraldcorp.com/view.php?ud=20210428000231", "Go to Website")</f>
        <v/>
      </c>
      <c r="H469" t="inlineStr"/>
      <c r="I469" t="inlineStr">
        <is>
          <t>N76</t>
        </is>
      </c>
      <c r="J469" s="3" t="n">
        <v>0.496</v>
      </c>
      <c r="K469" t="inlineStr">
        <is>
          <t>임대업; 부동산 제외</t>
        </is>
      </c>
      <c r="L469" t="inlineStr"/>
      <c r="M469" t="inlineStr"/>
      <c r="N469" t="inlineStr"/>
    </row>
    <row r="470">
      <c r="A470" s="1" t="inlineStr">
        <is>
          <t>2021-04-28</t>
        </is>
      </c>
      <c r="B470" t="inlineStr">
        <is>
          <t>news</t>
        </is>
      </c>
      <c r="C470" t="inlineStr">
        <is>
          <t>economy</t>
        </is>
      </c>
      <c r="D470" t="inlineStr">
        <is>
          <t>머니S</t>
        </is>
      </c>
      <c r="E470" t="inlineStr">
        <is>
          <t>안서진</t>
        </is>
      </c>
      <c r="F470" t="inlineStr">
        <is>
          <t>[특징주] 두산중공업, 1분기 흑자전환 소식에 상승세</t>
        </is>
      </c>
      <c r="G470" s="2">
        <f>HYPERLINK("http://moneys.mt.co.kr/news/mwView.php?no=2021042809528068387", "Go to Website")</f>
        <v/>
      </c>
      <c r="H470" t="inlineStr"/>
      <c r="I470" t="inlineStr">
        <is>
          <t>C29</t>
        </is>
      </c>
      <c r="J470" s="3" t="n">
        <v>1</v>
      </c>
      <c r="K470" t="inlineStr">
        <is>
          <t>기타 기계 및 장비 제조업</t>
        </is>
      </c>
      <c r="L470" t="inlineStr">
        <is>
          <t>1</t>
        </is>
      </c>
      <c r="M470" s="3" t="n">
        <v>1</v>
      </c>
      <c r="N470" t="inlineStr">
        <is>
          <t>긍정</t>
        </is>
      </c>
    </row>
    <row r="471">
      <c r="A471" s="1" t="inlineStr">
        <is>
          <t>2021-04-28</t>
        </is>
      </c>
      <c r="B471" t="inlineStr">
        <is>
          <t>news</t>
        </is>
      </c>
      <c r="C471" t="inlineStr">
        <is>
          <t>economy</t>
        </is>
      </c>
      <c r="D471" t="inlineStr">
        <is>
          <t>머니투데이</t>
        </is>
      </c>
      <c r="E471" t="inlineStr">
        <is>
          <t>최석환</t>
        </is>
      </c>
      <c r="F471" t="inlineStr">
        <is>
          <t>수소전기차 보급 글로벌 1등인데 충전인프라 확충은 꼴찌?</t>
        </is>
      </c>
      <c r="G471" s="2">
        <f>HYPERLINK("http://news.mt.co.kr/mtview.php?no=2021042808472724004", "Go to Website")</f>
        <v/>
      </c>
      <c r="H471" t="inlineStr"/>
      <c r="I471" t="inlineStr">
        <is>
          <t>C30</t>
        </is>
      </c>
      <c r="J471" s="3" t="n">
        <v>0.544</v>
      </c>
      <c r="K471" t="inlineStr">
        <is>
          <t>자동차 및 트레일러 제조업</t>
        </is>
      </c>
      <c r="L471" t="inlineStr"/>
      <c r="M471" t="inlineStr"/>
      <c r="N471" t="inlineStr"/>
    </row>
    <row r="472">
      <c r="A472" s="1" t="inlineStr">
        <is>
          <t>2021-04-28</t>
        </is>
      </c>
      <c r="B472" t="inlineStr">
        <is>
          <t>news</t>
        </is>
      </c>
      <c r="C472" t="inlineStr">
        <is>
          <t>economy</t>
        </is>
      </c>
      <c r="D472" t="inlineStr">
        <is>
          <t>연합뉴스</t>
        </is>
      </c>
      <c r="E472" t="inlineStr">
        <is>
          <t>김태종</t>
        </is>
      </c>
      <c r="F472" t="inlineStr">
        <is>
          <t>[증시신상품] NH-아문디운용, 글로벌 수소 밸류체인 펀드 출시</t>
        </is>
      </c>
      <c r="G472" s="2">
        <f>HYPERLINK("http://yna.kr/AKR20210428045900002?did=1195m", "Go to Website")</f>
        <v/>
      </c>
      <c r="H472" t="inlineStr"/>
      <c r="I472" t="inlineStr">
        <is>
          <t>K64</t>
        </is>
      </c>
      <c r="J472" s="3" t="n">
        <v>1</v>
      </c>
      <c r="K472" t="inlineStr">
        <is>
          <t>금융업</t>
        </is>
      </c>
      <c r="L472" t="inlineStr">
        <is>
          <t>1</t>
        </is>
      </c>
      <c r="M472" s="3" t="n">
        <v>0.9409999999999999</v>
      </c>
      <c r="N472" t="inlineStr">
        <is>
          <t>긍정</t>
        </is>
      </c>
    </row>
    <row r="473">
      <c r="A473" s="1" t="inlineStr">
        <is>
          <t>2021-04-28</t>
        </is>
      </c>
      <c r="B473" t="inlineStr">
        <is>
          <t>news</t>
        </is>
      </c>
      <c r="C473" t="inlineStr">
        <is>
          <t>economy</t>
        </is>
      </c>
      <c r="D473" t="inlineStr">
        <is>
          <t>이데일리</t>
        </is>
      </c>
      <c r="E473" t="inlineStr">
        <is>
          <t>이은정</t>
        </is>
      </c>
      <c r="F473" t="inlineStr">
        <is>
          <t>[머니팁]NH아문디자산운용, 수소 밸류체인 펀드 출시</t>
        </is>
      </c>
      <c r="G473" s="2">
        <f>HYPERLINK("http://www.edaily.co.kr/news/newspath.asp?newsid=01600646629020712", "Go to Website")</f>
        <v/>
      </c>
      <c r="H473" t="inlineStr"/>
      <c r="I473" t="inlineStr">
        <is>
          <t>K64</t>
        </is>
      </c>
      <c r="J473" s="3" t="n">
        <v>1</v>
      </c>
      <c r="K473" t="inlineStr">
        <is>
          <t>금융업</t>
        </is>
      </c>
      <c r="L473" t="inlineStr"/>
      <c r="M473" t="inlineStr"/>
      <c r="N473" t="inlineStr"/>
    </row>
    <row r="474">
      <c r="A474" s="1" t="inlineStr">
        <is>
          <t>2021-04-28</t>
        </is>
      </c>
      <c r="B474" t="inlineStr">
        <is>
          <t>news</t>
        </is>
      </c>
      <c r="C474" t="inlineStr">
        <is>
          <t>economy</t>
        </is>
      </c>
      <c r="D474" t="inlineStr">
        <is>
          <t>아이뉴스24</t>
        </is>
      </c>
      <c r="E474" t="inlineStr">
        <is>
          <t>강길홍</t>
        </is>
      </c>
      <c r="F474" t="inlineStr">
        <is>
          <t>"수소차 보급은 세계 1위…충전 인프라는 열악"</t>
        </is>
      </c>
      <c r="G474" s="2">
        <f>HYPERLINK("http://www.inews24.com/view/1362307", "Go to Website")</f>
        <v/>
      </c>
      <c r="H474" t="inlineStr"/>
      <c r="I474" t="inlineStr">
        <is>
          <t>C30</t>
        </is>
      </c>
      <c r="J474" s="3" t="n">
        <v>0.614</v>
      </c>
      <c r="K474" t="inlineStr">
        <is>
          <t>자동차 및 트레일러 제조업</t>
        </is>
      </c>
      <c r="L474" t="inlineStr">
        <is>
          <t>1</t>
        </is>
      </c>
      <c r="M474" s="3" t="n">
        <v>0.573</v>
      </c>
      <c r="N474" t="inlineStr">
        <is>
          <t>긍정</t>
        </is>
      </c>
    </row>
    <row r="475">
      <c r="A475" s="1" t="inlineStr">
        <is>
          <t>2021-04-28</t>
        </is>
      </c>
      <c r="B475" t="inlineStr">
        <is>
          <t>news</t>
        </is>
      </c>
      <c r="C475" t="inlineStr">
        <is>
          <t>economy</t>
        </is>
      </c>
      <c r="D475" t="inlineStr">
        <is>
          <t>아시아경제</t>
        </is>
      </c>
      <c r="E475" t="inlineStr">
        <is>
          <t>이창환</t>
        </is>
      </c>
      <c r="F475" t="inlineStr">
        <is>
          <t>한국 수소차 보급은 세계 1위인데…충전인프라 태부족</t>
        </is>
      </c>
      <c r="G475" s="2">
        <f>HYPERLINK("https://view.asiae.co.kr/article/2021042808573736713", "Go to Website")</f>
        <v/>
      </c>
      <c r="H475" t="inlineStr"/>
      <c r="I475" t="inlineStr">
        <is>
          <t>N76</t>
        </is>
      </c>
      <c r="J475" s="3" t="n">
        <v>0.97</v>
      </c>
      <c r="K475" t="inlineStr">
        <is>
          <t>임대업; 부동산 제외</t>
        </is>
      </c>
      <c r="L475" t="inlineStr">
        <is>
          <t>0</t>
        </is>
      </c>
      <c r="M475" s="3" t="n">
        <v>0.647</v>
      </c>
      <c r="N475" t="inlineStr">
        <is>
          <t>중립</t>
        </is>
      </c>
    </row>
    <row r="476">
      <c r="A476" s="1" t="inlineStr">
        <is>
          <t>2021-04-28</t>
        </is>
      </c>
      <c r="B476" t="inlineStr">
        <is>
          <t>news</t>
        </is>
      </c>
      <c r="C476" t="inlineStr">
        <is>
          <t>economy</t>
        </is>
      </c>
      <c r="D476" t="inlineStr">
        <is>
          <t>뉴시스</t>
        </is>
      </c>
      <c r="E476" t="inlineStr">
        <is>
          <t>박주연</t>
        </is>
      </c>
      <c r="F476" t="inlineStr">
        <is>
          <t>한국 수소차 보급 글로벌 1위…충전 인프라는 '열악'</t>
        </is>
      </c>
      <c r="G476" s="2">
        <f>HYPERLINK("http://www.newsis.com/view/?id=NISX20210428_0001422303&amp;cID=13001&amp;pID=13000", "Go to Website")</f>
        <v/>
      </c>
      <c r="H476" t="inlineStr"/>
      <c r="I476" t="inlineStr">
        <is>
          <t>N76</t>
        </is>
      </c>
      <c r="J476" s="3" t="n">
        <v>0.906</v>
      </c>
      <c r="K476" t="inlineStr">
        <is>
          <t>임대업; 부동산 제외</t>
        </is>
      </c>
      <c r="L476" t="inlineStr">
        <is>
          <t>0</t>
        </is>
      </c>
      <c r="M476" s="3" t="n">
        <v>0.5679999999999999</v>
      </c>
      <c r="N476" t="inlineStr">
        <is>
          <t>중립</t>
        </is>
      </c>
    </row>
    <row r="477">
      <c r="A477" s="1" t="inlineStr">
        <is>
          <t>2021-04-28</t>
        </is>
      </c>
      <c r="B477" t="inlineStr">
        <is>
          <t>news</t>
        </is>
      </c>
      <c r="C477" t="inlineStr">
        <is>
          <t>economy</t>
        </is>
      </c>
      <c r="D477" t="inlineStr">
        <is>
          <t>아시아경제</t>
        </is>
      </c>
      <c r="E477" t="inlineStr">
        <is>
          <t>이민지</t>
        </is>
      </c>
      <c r="F477" t="inlineStr">
        <is>
          <t>NH아문디자산운용, 글로벌 수소 밸류체인 펀드 출시</t>
        </is>
      </c>
      <c r="G477" s="2">
        <f>HYPERLINK("https://view.asiae.co.kr/article/2021042808564830205", "Go to Website")</f>
        <v/>
      </c>
      <c r="H477" t="inlineStr"/>
      <c r="I477" t="inlineStr">
        <is>
          <t>K64</t>
        </is>
      </c>
      <c r="J477" s="3" t="n">
        <v>0.997</v>
      </c>
      <c r="K477" t="inlineStr">
        <is>
          <t>금융업</t>
        </is>
      </c>
      <c r="L477" t="inlineStr"/>
      <c r="M477" t="inlineStr"/>
      <c r="N477" t="inlineStr"/>
    </row>
    <row r="478">
      <c r="A478" s="1" t="inlineStr">
        <is>
          <t>2021-04-28</t>
        </is>
      </c>
      <c r="B478" t="inlineStr">
        <is>
          <t>news</t>
        </is>
      </c>
      <c r="C478" t="inlineStr">
        <is>
          <t>economy</t>
        </is>
      </c>
      <c r="D478" t="inlineStr">
        <is>
          <t>파이낸셜뉴스</t>
        </is>
      </c>
      <c r="E478" t="inlineStr">
        <is>
          <t>김경아</t>
        </is>
      </c>
      <c r="F478" t="inlineStr">
        <is>
          <t>NH-Amundi운용, '글로벌 수소 밸류체인 펀드' 출시</t>
        </is>
      </c>
      <c r="G478" s="2">
        <f>HYPERLINK("http://www.fnnews.com/news/202104280837578553", "Go to Website")</f>
        <v/>
      </c>
      <c r="H478" t="inlineStr"/>
      <c r="I478" t="inlineStr">
        <is>
          <t>K64</t>
        </is>
      </c>
      <c r="J478" s="3" t="n">
        <v>1</v>
      </c>
      <c r="K478" t="inlineStr">
        <is>
          <t>금융업</t>
        </is>
      </c>
      <c r="L478" t="inlineStr"/>
      <c r="M478" t="inlineStr"/>
      <c r="N478" t="inlineStr"/>
    </row>
    <row r="479">
      <c r="A479" s="1" t="inlineStr">
        <is>
          <t>2021-04-28</t>
        </is>
      </c>
      <c r="B479" t="inlineStr">
        <is>
          <t>news</t>
        </is>
      </c>
      <c r="C479" t="inlineStr">
        <is>
          <t>economy</t>
        </is>
      </c>
      <c r="D479" t="inlineStr">
        <is>
          <t>스포츠동아</t>
        </is>
      </c>
      <c r="E479" t="inlineStr">
        <is>
          <t>원성열</t>
        </is>
      </c>
      <c r="F479" t="inlineStr">
        <is>
          <t>수소차용 수소공급 출하센터 준공…연간 2000톤 제공</t>
        </is>
      </c>
      <c r="G479" s="2">
        <f>HYPERLINK("https://sports.donga.com/article/all/20210427/106641847/3", "Go to Website")</f>
        <v/>
      </c>
      <c r="H479" t="inlineStr"/>
      <c r="I479" t="inlineStr">
        <is>
          <t>C30</t>
        </is>
      </c>
      <c r="J479" s="3" t="n">
        <v>0.501</v>
      </c>
      <c r="K479" t="inlineStr">
        <is>
          <t>자동차 및 트레일러 제조업</t>
        </is>
      </c>
      <c r="L479" t="inlineStr"/>
      <c r="M479" t="inlineStr"/>
      <c r="N479" t="inlineStr"/>
    </row>
    <row r="480">
      <c r="A480" s="1" t="inlineStr">
        <is>
          <t>2021-04-28</t>
        </is>
      </c>
      <c r="B480" t="inlineStr">
        <is>
          <t>news</t>
        </is>
      </c>
      <c r="C480" t="inlineStr">
        <is>
          <t>economy</t>
        </is>
      </c>
      <c r="D480" t="inlineStr">
        <is>
          <t>서울신문</t>
        </is>
      </c>
      <c r="E480" t="inlineStr"/>
      <c r="F480" t="inlineStr">
        <is>
          <t>공공기관, 친환경車만 사야</t>
        </is>
      </c>
      <c r="G480" s="2">
        <f>HYPERLINK("https://www.seoul.co.kr/news/newsView.php?id=20210428019012", "Go to Website")</f>
        <v/>
      </c>
      <c r="H480" t="inlineStr"/>
      <c r="I480" t="inlineStr">
        <is>
          <t>100</t>
        </is>
      </c>
      <c r="J480" s="3" t="n">
        <v>0.948</v>
      </c>
      <c r="K480" t="inlineStr">
        <is>
          <t>분류 제외, 기타</t>
        </is>
      </c>
      <c r="L480" t="inlineStr"/>
      <c r="M480" t="inlineStr"/>
      <c r="N480" t="inlineStr"/>
    </row>
    <row r="481">
      <c r="A481" s="1" t="inlineStr">
        <is>
          <t>2021-04-28</t>
        </is>
      </c>
      <c r="B481" t="inlineStr">
        <is>
          <t>news</t>
        </is>
      </c>
      <c r="C481" t="inlineStr">
        <is>
          <t>economy</t>
        </is>
      </c>
      <c r="D481" t="inlineStr">
        <is>
          <t>머니투데이</t>
        </is>
      </c>
      <c r="E481" t="inlineStr">
        <is>
          <t>주명호</t>
        </is>
      </c>
      <c r="F481" t="inlineStr">
        <is>
          <t>최고 시속 240km…국내 첫 고성능 SUV '코나N' 베일 벗었다</t>
        </is>
      </c>
      <c r="G481" s="2">
        <f>HYPERLINK("http://news.mt.co.kr/mtview.php?no=2021042716440721469", "Go to Website")</f>
        <v/>
      </c>
      <c r="H481" t="inlineStr"/>
      <c r="I481" t="inlineStr">
        <is>
          <t>C30</t>
        </is>
      </c>
      <c r="J481" s="3" t="n">
        <v>0.906</v>
      </c>
      <c r="K481" t="inlineStr">
        <is>
          <t>자동차 및 트레일러 제조업</t>
        </is>
      </c>
      <c r="L481" t="inlineStr"/>
      <c r="M481" t="inlineStr"/>
      <c r="N481" t="inlineStr"/>
    </row>
    <row r="482">
      <c r="A482" s="1" t="inlineStr">
        <is>
          <t>2021-04-28</t>
        </is>
      </c>
      <c r="B482" t="inlineStr">
        <is>
          <t>news</t>
        </is>
      </c>
      <c r="C482" t="inlineStr">
        <is>
          <t>economy</t>
        </is>
      </c>
      <c r="D482" t="inlineStr">
        <is>
          <t>조선일보</t>
        </is>
      </c>
      <c r="E482" t="inlineStr">
        <is>
          <t>안준호</t>
        </is>
      </c>
      <c r="F482" t="inlineStr">
        <is>
          <t>전기차 충전기 14시간 이상 점유땐 10만원 과태료</t>
        </is>
      </c>
      <c r="G482" s="2">
        <f>HYPERLINK("https://www.chosun.com/economy/industry-company/2021/04/28/3RDPTR7VWNGYJBE73YQ4LT4HJY/?utm_medium=referral&amp;utm_campaign=naver-news", "Go to Website")</f>
        <v/>
      </c>
      <c r="H482" t="inlineStr"/>
      <c r="I482" t="inlineStr">
        <is>
          <t>N76</t>
        </is>
      </c>
      <c r="J482" s="3" t="n">
        <v>0.871</v>
      </c>
      <c r="K482" t="inlineStr">
        <is>
          <t>임대업; 부동산 제외</t>
        </is>
      </c>
      <c r="L482" t="inlineStr"/>
      <c r="M482" t="inlineStr"/>
      <c r="N482" t="inlineStr"/>
    </row>
    <row r="483">
      <c r="A483" s="1" t="inlineStr">
        <is>
          <t>2021-04-27</t>
        </is>
      </c>
      <c r="B483" t="inlineStr">
        <is>
          <t>news</t>
        </is>
      </c>
      <c r="C483" t="inlineStr">
        <is>
          <t>economy</t>
        </is>
      </c>
      <c r="D483" t="inlineStr">
        <is>
          <t>한국일보</t>
        </is>
      </c>
      <c r="E483" t="inlineStr">
        <is>
          <t>김현우</t>
        </is>
      </c>
      <c r="F483" t="inlineStr">
        <is>
          <t>전기차 충전기에 '얌체 주차' 8월부터 과태료 10만원 문다</t>
        </is>
      </c>
      <c r="G483" s="2">
        <f>HYPERLINK("https://hankookilbo.com/News/Read/A2021042709280004756?did=NA", "Go to Website")</f>
        <v/>
      </c>
      <c r="H483" t="inlineStr"/>
      <c r="I483" t="inlineStr">
        <is>
          <t>100</t>
        </is>
      </c>
      <c r="J483" s="3" t="n">
        <v>0.89</v>
      </c>
      <c r="K483" t="inlineStr">
        <is>
          <t>분류 제외, 기타</t>
        </is>
      </c>
      <c r="L483" t="inlineStr"/>
      <c r="M483" t="inlineStr"/>
      <c r="N483" t="inlineStr"/>
    </row>
    <row r="484">
      <c r="A484" s="1" t="inlineStr">
        <is>
          <t>2021-04-27</t>
        </is>
      </c>
      <c r="B484" t="inlineStr">
        <is>
          <t>news</t>
        </is>
      </c>
      <c r="C484" t="inlineStr">
        <is>
          <t>economy</t>
        </is>
      </c>
      <c r="D484" t="inlineStr">
        <is>
          <t>디지털타임스</t>
        </is>
      </c>
      <c r="E484" t="inlineStr">
        <is>
          <t>황두현</t>
        </is>
      </c>
      <c r="F484" t="inlineStr">
        <is>
          <t>[파이낸스] 저축銀도 `친환경 경영`… "녹색 건물주 금리 깎아드려요"</t>
        </is>
      </c>
      <c r="G484" s="2">
        <f>HYPERLINK("http://www.dt.co.kr/contents.html?article_no=2021042802101863048001", "Go to Website")</f>
        <v/>
      </c>
      <c r="H484" t="inlineStr"/>
      <c r="I484" t="inlineStr">
        <is>
          <t>K64</t>
        </is>
      </c>
      <c r="J484" s="3" t="n">
        <v>0.998</v>
      </c>
      <c r="K484" t="inlineStr">
        <is>
          <t>금융업</t>
        </is>
      </c>
      <c r="L484" t="inlineStr">
        <is>
          <t>0</t>
        </is>
      </c>
      <c r="M484" s="3" t="n">
        <v>0.999</v>
      </c>
      <c r="N484" t="inlineStr">
        <is>
          <t>중립</t>
        </is>
      </c>
    </row>
    <row r="485">
      <c r="A485" s="1" t="inlineStr">
        <is>
          <t>2021-04-27</t>
        </is>
      </c>
      <c r="B485" t="inlineStr">
        <is>
          <t>news</t>
        </is>
      </c>
      <c r="C485" t="inlineStr">
        <is>
          <t>economy</t>
        </is>
      </c>
      <c r="D485" t="inlineStr">
        <is>
          <t>부산일보</t>
        </is>
      </c>
      <c r="E485" t="inlineStr">
        <is>
          <t>김영한</t>
        </is>
      </c>
      <c r="F485" t="inlineStr">
        <is>
          <t>엔케이, ‘미래 먹거리’ 고성능 수소 운송 튜브 트레일러 본격 상용화</t>
        </is>
      </c>
      <c r="G485" s="2">
        <f>HYPERLINK("http://www.busan.com/view/busan/view.php?code=2021042718054352957", "Go to Website")</f>
        <v/>
      </c>
      <c r="H485" t="inlineStr"/>
      <c r="I485" t="inlineStr">
        <is>
          <t>C29</t>
        </is>
      </c>
      <c r="J485" s="3" t="n">
        <v>0.673</v>
      </c>
      <c r="K485" t="inlineStr">
        <is>
          <t>기타 기계 및 장비 제조업</t>
        </is>
      </c>
      <c r="L485" t="inlineStr">
        <is>
          <t>1</t>
        </is>
      </c>
      <c r="M485" s="3" t="n">
        <v>0.771</v>
      </c>
      <c r="N485" t="inlineStr">
        <is>
          <t>긍정</t>
        </is>
      </c>
    </row>
    <row r="486">
      <c r="A486" s="1" t="inlineStr">
        <is>
          <t>2021-04-27</t>
        </is>
      </c>
      <c r="B486" t="inlineStr">
        <is>
          <t>news</t>
        </is>
      </c>
      <c r="C486" t="inlineStr">
        <is>
          <t>economy</t>
        </is>
      </c>
      <c r="D486" t="inlineStr">
        <is>
          <t>부산일보</t>
        </is>
      </c>
      <c r="E486" t="inlineStr">
        <is>
          <t>김영한</t>
        </is>
      </c>
      <c r="F486" t="inlineStr">
        <is>
          <t>금양, 독보적 초미세 가공 노하우로 ‘수소연료전지’ 상용화 이끈다</t>
        </is>
      </c>
      <c r="G486" s="2">
        <f>HYPERLINK("http://www.busan.com/view/busan/view.php?code=2021042718272522375", "Go to Website")</f>
        <v/>
      </c>
      <c r="H486" t="inlineStr"/>
      <c r="I486" t="inlineStr">
        <is>
          <t>C20</t>
        </is>
      </c>
      <c r="J486" s="3" t="n">
        <v>1</v>
      </c>
      <c r="K486" t="inlineStr">
        <is>
          <t>화학 물질 및 화학제품 제조업; 의약품 제외</t>
        </is>
      </c>
      <c r="L486" t="inlineStr">
        <is>
          <t>1</t>
        </is>
      </c>
      <c r="M486" s="3" t="n">
        <v>0.998</v>
      </c>
      <c r="N486" t="inlineStr">
        <is>
          <t>긍정</t>
        </is>
      </c>
    </row>
    <row r="487">
      <c r="A487" s="1" t="inlineStr">
        <is>
          <t>2021-04-27</t>
        </is>
      </c>
      <c r="B487" t="inlineStr">
        <is>
          <t>news</t>
        </is>
      </c>
      <c r="C487" t="inlineStr">
        <is>
          <t>economy</t>
        </is>
      </c>
      <c r="D487" t="inlineStr">
        <is>
          <t>부산일보</t>
        </is>
      </c>
      <c r="E487" t="inlineStr">
        <is>
          <t>이현정</t>
        </is>
      </c>
      <c r="F487" t="inlineStr">
        <is>
          <t>'성우하이텍' 더 가볍고 튼튼하게… 미래 자동차 시장에 도전하는 부품산업 선도기업</t>
        </is>
      </c>
      <c r="G487" s="2">
        <f>HYPERLINK("http://www.busan.com/view/busan/view.php?code=2021042718154420827", "Go to Website")</f>
        <v/>
      </c>
      <c r="H487" t="inlineStr"/>
      <c r="I487" t="inlineStr">
        <is>
          <t>C30</t>
        </is>
      </c>
      <c r="J487" s="3" t="n">
        <v>0.999</v>
      </c>
      <c r="K487" t="inlineStr">
        <is>
          <t>자동차 및 트레일러 제조업</t>
        </is>
      </c>
      <c r="L487" t="inlineStr">
        <is>
          <t>1</t>
        </is>
      </c>
      <c r="M487" s="3" t="n">
        <v>0.776</v>
      </c>
      <c r="N487" t="inlineStr">
        <is>
          <t>긍정</t>
        </is>
      </c>
    </row>
    <row r="488">
      <c r="A488" s="1" t="inlineStr">
        <is>
          <t>2021-04-27</t>
        </is>
      </c>
      <c r="B488" t="inlineStr">
        <is>
          <t>news</t>
        </is>
      </c>
      <c r="C488" t="inlineStr">
        <is>
          <t>economy</t>
        </is>
      </c>
      <c r="D488" t="inlineStr">
        <is>
          <t>부산일보</t>
        </is>
      </c>
      <c r="E488" t="inlineStr">
        <is>
          <t>김영한</t>
        </is>
      </c>
      <c r="F488" t="inlineStr">
        <is>
          <t>기후 위기를 생존 기회로…수소 생태계 구축에서 미래를 발견한 기업들</t>
        </is>
      </c>
      <c r="G488" s="2">
        <f>HYPERLINK("http://www.busan.com/view/busan/view.php?code=2021042718270110808", "Go to Website")</f>
        <v/>
      </c>
      <c r="H488" t="inlineStr"/>
      <c r="I488" t="inlineStr">
        <is>
          <t>C23</t>
        </is>
      </c>
      <c r="J488" s="3" t="n">
        <v>0.832</v>
      </c>
      <c r="K488" t="inlineStr">
        <is>
          <t>비금속 광물제품 제조업</t>
        </is>
      </c>
      <c r="L488" t="inlineStr"/>
      <c r="M488" t="inlineStr"/>
      <c r="N488" t="inlineStr"/>
    </row>
    <row r="489">
      <c r="A489" s="1" t="inlineStr">
        <is>
          <t>2021-04-27</t>
        </is>
      </c>
      <c r="B489" t="inlineStr">
        <is>
          <t>news</t>
        </is>
      </c>
      <c r="C489" t="inlineStr">
        <is>
          <t>economy</t>
        </is>
      </c>
      <c r="D489" t="inlineStr">
        <is>
          <t>부산일보</t>
        </is>
      </c>
      <c r="E489" t="inlineStr"/>
      <c r="F489" t="inlineStr">
        <is>
          <t>수소 운송 규제 해결사 역할 ‘톡톡’</t>
        </is>
      </c>
      <c r="G489" s="2">
        <f>HYPERLINK("http://www.busan.com/view/busan/view.php?code=2021042718081601757", "Go to Website")</f>
        <v/>
      </c>
      <c r="H489" t="inlineStr"/>
      <c r="I489" t="inlineStr">
        <is>
          <t>C20</t>
        </is>
      </c>
      <c r="J489" s="3" t="n">
        <v>0.518</v>
      </c>
      <c r="K489" t="inlineStr">
        <is>
          <t>화학 물질 및 화학제품 제조업; 의약품 제외</t>
        </is>
      </c>
      <c r="L489" t="inlineStr">
        <is>
          <t>0</t>
        </is>
      </c>
      <c r="M489" s="3" t="n">
        <v>0.993</v>
      </c>
      <c r="N489" t="inlineStr">
        <is>
          <t>중립</t>
        </is>
      </c>
    </row>
    <row r="490">
      <c r="A490" s="1" t="inlineStr">
        <is>
          <t>2021-04-27</t>
        </is>
      </c>
      <c r="B490" t="inlineStr">
        <is>
          <t>news</t>
        </is>
      </c>
      <c r="C490" t="inlineStr">
        <is>
          <t>economy</t>
        </is>
      </c>
      <c r="D490" t="inlineStr">
        <is>
          <t>디지털타임스</t>
        </is>
      </c>
      <c r="E490" t="inlineStr">
        <is>
          <t>이상현</t>
        </is>
      </c>
      <c r="F490" t="inlineStr">
        <is>
          <t>두산중공업, 1분기 ‘턴어라운드’ 성공…영업익 3721억원으로 흑자전환</t>
        </is>
      </c>
      <c r="G490" s="2">
        <f>HYPERLINK("http://www.dt.co.kr/contents.html?article_no=2021042702109932031012", "Go to Website")</f>
        <v/>
      </c>
      <c r="H490" t="inlineStr"/>
      <c r="I490" t="inlineStr">
        <is>
          <t>C29</t>
        </is>
      </c>
      <c r="J490" s="3" t="n">
        <v>1</v>
      </c>
      <c r="K490" t="inlineStr">
        <is>
          <t>기타 기계 및 장비 제조업</t>
        </is>
      </c>
      <c r="L490" t="inlineStr">
        <is>
          <t>1</t>
        </is>
      </c>
      <c r="M490" s="3" t="n">
        <v>1</v>
      </c>
      <c r="N490" t="inlineStr">
        <is>
          <t>긍정</t>
        </is>
      </c>
    </row>
    <row r="491">
      <c r="A491" s="1" t="inlineStr">
        <is>
          <t>2021-04-27</t>
        </is>
      </c>
      <c r="B491" t="inlineStr">
        <is>
          <t>news</t>
        </is>
      </c>
      <c r="C491" t="inlineStr">
        <is>
          <t>economy</t>
        </is>
      </c>
      <c r="D491" t="inlineStr">
        <is>
          <t>머니투데이</t>
        </is>
      </c>
      <c r="E491" t="inlineStr">
        <is>
          <t>우경희</t>
        </is>
      </c>
      <c r="F491" t="inlineStr">
        <is>
          <t>두산重 1Q 흑전, 2.4년치 일감 확보…연간 턴어라운드 간다</t>
        </is>
      </c>
      <c r="G491" s="2">
        <f>HYPERLINK("http://news.mt.co.kr/mtview.php?no=2021042717202974215", "Go to Website")</f>
        <v/>
      </c>
      <c r="H491" t="inlineStr"/>
      <c r="I491" t="inlineStr">
        <is>
          <t>C29</t>
        </is>
      </c>
      <c r="J491" s="3" t="n">
        <v>0.994</v>
      </c>
      <c r="K491" t="inlineStr">
        <is>
          <t>기타 기계 및 장비 제조업</t>
        </is>
      </c>
      <c r="L491" t="inlineStr"/>
      <c r="M491" t="inlineStr"/>
      <c r="N491" t="inlineStr"/>
    </row>
    <row r="492">
      <c r="A492" s="1" t="inlineStr">
        <is>
          <t>2021-04-27</t>
        </is>
      </c>
      <c r="B492" t="inlineStr">
        <is>
          <t>news</t>
        </is>
      </c>
      <c r="C492" t="inlineStr">
        <is>
          <t>economy</t>
        </is>
      </c>
      <c r="D492" t="inlineStr">
        <is>
          <t>한국경제</t>
        </is>
      </c>
      <c r="E492" t="inlineStr">
        <is>
          <t>정의진</t>
        </is>
      </c>
      <c r="F492" t="inlineStr">
        <is>
          <t>2034년까지 천연가스 수요 15% 증가...산업부 "수입국 다변화"</t>
        </is>
      </c>
      <c r="G492" s="2">
        <f>HYPERLINK("https://www.hankyung.com/economy/article/202104272770i", "Go to Website")</f>
        <v/>
      </c>
      <c r="H492" t="inlineStr"/>
      <c r="I492" t="inlineStr">
        <is>
          <t>B05</t>
        </is>
      </c>
      <c r="J492" s="3" t="n">
        <v>0.897</v>
      </c>
      <c r="K492" t="inlineStr">
        <is>
          <t>석탄, 원유 및 천연가스 광업</t>
        </is>
      </c>
      <c r="L492" t="inlineStr"/>
      <c r="M492" t="inlineStr"/>
      <c r="N492" t="inlineStr"/>
    </row>
    <row r="493">
      <c r="A493" s="1" t="inlineStr">
        <is>
          <t>2021-04-27</t>
        </is>
      </c>
      <c r="B493" t="inlineStr">
        <is>
          <t>news</t>
        </is>
      </c>
      <c r="C493" t="inlineStr">
        <is>
          <t>economy</t>
        </is>
      </c>
      <c r="D493" t="inlineStr">
        <is>
          <t>한국경제</t>
        </is>
      </c>
      <c r="E493" t="inlineStr">
        <is>
          <t>오경묵</t>
        </is>
      </c>
      <c r="F493" t="inlineStr">
        <is>
          <t>대구시, 미래車 '통 큰 투자' 빛 봤다</t>
        </is>
      </c>
      <c r="G493" s="2">
        <f>HYPERLINK("https://www.hankyung.com/society/article/2021042731051", "Go to Website")</f>
        <v/>
      </c>
      <c r="H493" t="inlineStr"/>
      <c r="I493" t="inlineStr">
        <is>
          <t>C26</t>
        </is>
      </c>
      <c r="J493" s="3" t="n">
        <v>0.615</v>
      </c>
      <c r="K493" t="inlineStr">
        <is>
          <t>전자 부품, 컴퓨터, 영상, 음향 및 통신장비 제조업</t>
        </is>
      </c>
      <c r="L493" t="inlineStr"/>
      <c r="M493" t="inlineStr"/>
      <c r="N493" t="inlineStr"/>
    </row>
    <row r="494">
      <c r="A494" s="1" t="inlineStr">
        <is>
          <t>2021-04-27</t>
        </is>
      </c>
      <c r="B494" t="inlineStr">
        <is>
          <t>news</t>
        </is>
      </c>
      <c r="C494" t="inlineStr">
        <is>
          <t>economy</t>
        </is>
      </c>
      <c r="D494" t="inlineStr">
        <is>
          <t>아이뉴스24</t>
        </is>
      </c>
      <c r="E494" t="inlineStr">
        <is>
          <t>조석근</t>
        </is>
      </c>
      <c r="F494" t="inlineStr">
        <is>
          <t>'흑자전환' 두산중공업 영업익 3천721억원 전년비 558%↑</t>
        </is>
      </c>
      <c r="G494" s="2">
        <f>HYPERLINK("http://www.inews24.com/view/1362233", "Go to Website")</f>
        <v/>
      </c>
      <c r="H494" t="inlineStr"/>
      <c r="I494" t="inlineStr">
        <is>
          <t>C29</t>
        </is>
      </c>
      <c r="J494" s="3" t="n">
        <v>0.999</v>
      </c>
      <c r="K494" t="inlineStr">
        <is>
          <t>기타 기계 및 장비 제조업</t>
        </is>
      </c>
      <c r="L494" t="inlineStr">
        <is>
          <t>1</t>
        </is>
      </c>
      <c r="M494" s="3" t="n">
        <v>1</v>
      </c>
      <c r="N494" t="inlineStr">
        <is>
          <t>긍정</t>
        </is>
      </c>
    </row>
    <row r="495">
      <c r="A495" s="1" t="inlineStr">
        <is>
          <t>2021-04-27</t>
        </is>
      </c>
      <c r="B495" t="inlineStr">
        <is>
          <t>news</t>
        </is>
      </c>
      <c r="C495" t="inlineStr">
        <is>
          <t>economy</t>
        </is>
      </c>
      <c r="D495" t="inlineStr">
        <is>
          <t>데일리안</t>
        </is>
      </c>
      <c r="E495" t="inlineStr">
        <is>
          <t>김민희</t>
        </is>
      </c>
      <c r="F495" t="inlineStr">
        <is>
          <t>두산중, 1Q 영업익 3721억원…전년비 558%↑</t>
        </is>
      </c>
      <c r="G495" s="2">
        <f>HYPERLINK("https://www.dailian.co.kr/news/view/985948/", "Go to Website")</f>
        <v/>
      </c>
      <c r="H495" t="inlineStr"/>
      <c r="I495" t="inlineStr">
        <is>
          <t>C29</t>
        </is>
      </c>
      <c r="J495" s="3" t="n">
        <v>1</v>
      </c>
      <c r="K495" t="inlineStr">
        <is>
          <t>기타 기계 및 장비 제조업</t>
        </is>
      </c>
      <c r="L495" t="inlineStr"/>
      <c r="M495" t="inlineStr"/>
      <c r="N495" t="inlineStr"/>
    </row>
    <row r="496">
      <c r="A496" s="1" t="inlineStr">
        <is>
          <t>2021-04-27</t>
        </is>
      </c>
      <c r="B496" t="inlineStr">
        <is>
          <t>news</t>
        </is>
      </c>
      <c r="C496" t="inlineStr">
        <is>
          <t>economy</t>
        </is>
      </c>
      <c r="D496" t="inlineStr">
        <is>
          <t>한국경제TV</t>
        </is>
      </c>
      <c r="E496" t="inlineStr">
        <is>
          <t>송민화</t>
        </is>
      </c>
      <c r="F496" t="inlineStr">
        <is>
          <t>두산중공업, 1Q 영업익 585억…흑자전환</t>
        </is>
      </c>
      <c r="G496" s="2">
        <f>HYPERLINK("http://www.wowtv.co.kr/NewsCenter/News/Read?articleId=A202104270366&amp;t=NN", "Go to Website")</f>
        <v/>
      </c>
      <c r="H496" t="inlineStr"/>
      <c r="I496" t="inlineStr">
        <is>
          <t>C29</t>
        </is>
      </c>
      <c r="J496" s="3" t="n">
        <v>1</v>
      </c>
      <c r="K496" t="inlineStr">
        <is>
          <t>기타 기계 및 장비 제조업</t>
        </is>
      </c>
      <c r="L496" t="inlineStr">
        <is>
          <t>1</t>
        </is>
      </c>
      <c r="M496" s="3" t="n">
        <v>1</v>
      </c>
      <c r="N496" t="inlineStr">
        <is>
          <t>긍정</t>
        </is>
      </c>
    </row>
    <row r="497">
      <c r="A497" s="1" t="inlineStr">
        <is>
          <t>2021-04-27</t>
        </is>
      </c>
      <c r="B497" t="inlineStr">
        <is>
          <t>news</t>
        </is>
      </c>
      <c r="C497" t="inlineStr">
        <is>
          <t>economy</t>
        </is>
      </c>
      <c r="D497" t="inlineStr">
        <is>
          <t>뉴시스</t>
        </is>
      </c>
      <c r="E497" t="inlineStr">
        <is>
          <t>정윤아</t>
        </is>
      </c>
      <c r="F497" t="inlineStr">
        <is>
          <t>두산중공업, 11분기만에 '턴어라운드' 흑자 전환…1분기 영업이익 3721억</t>
        </is>
      </c>
      <c r="G497" s="2">
        <f>HYPERLINK("http://www.newsis.com/view/?id=NISX20210427_0001421891&amp;cID=13001&amp;pID=13000", "Go to Website")</f>
        <v/>
      </c>
      <c r="H497" t="inlineStr"/>
      <c r="I497" t="inlineStr">
        <is>
          <t>C29</t>
        </is>
      </c>
      <c r="J497" s="3" t="n">
        <v>1</v>
      </c>
      <c r="K497" t="inlineStr">
        <is>
          <t>기타 기계 및 장비 제조업</t>
        </is>
      </c>
      <c r="L497" t="inlineStr">
        <is>
          <t>1</t>
        </is>
      </c>
      <c r="M497" s="3" t="n">
        <v>1</v>
      </c>
      <c r="N497" t="inlineStr">
        <is>
          <t>긍정</t>
        </is>
      </c>
    </row>
    <row r="498">
      <c r="A498" s="1" t="inlineStr">
        <is>
          <t>2021-04-27</t>
        </is>
      </c>
      <c r="B498" t="inlineStr">
        <is>
          <t>news</t>
        </is>
      </c>
      <c r="C498" t="inlineStr">
        <is>
          <t>economy</t>
        </is>
      </c>
      <c r="D498" t="inlineStr">
        <is>
          <t>전자신문</t>
        </is>
      </c>
      <c r="E498" t="inlineStr">
        <is>
          <t>변상근</t>
        </is>
      </c>
      <c r="F498" t="inlineStr">
        <is>
          <t>두산중공업, 1분기 영업이익 3712억원…11분기 만에 흑자 전환</t>
        </is>
      </c>
      <c r="G498" s="2">
        <f>HYPERLINK("http://www.etnews.com/20210427000261", "Go to Website")</f>
        <v/>
      </c>
      <c r="H498" t="inlineStr"/>
      <c r="I498" t="inlineStr">
        <is>
          <t>C29</t>
        </is>
      </c>
      <c r="J498" s="3" t="n">
        <v>1</v>
      </c>
      <c r="K498" t="inlineStr">
        <is>
          <t>기타 기계 및 장비 제조업</t>
        </is>
      </c>
      <c r="L498" t="inlineStr">
        <is>
          <t>1</t>
        </is>
      </c>
      <c r="M498" s="3" t="n">
        <v>1</v>
      </c>
      <c r="N498" t="inlineStr">
        <is>
          <t>긍정</t>
        </is>
      </c>
    </row>
    <row r="499">
      <c r="A499" s="1" t="inlineStr">
        <is>
          <t>2021-04-27</t>
        </is>
      </c>
      <c r="B499" t="inlineStr">
        <is>
          <t>news</t>
        </is>
      </c>
      <c r="C499" t="inlineStr">
        <is>
          <t>economy</t>
        </is>
      </c>
      <c r="D499" t="inlineStr">
        <is>
          <t>이데일리</t>
        </is>
      </c>
      <c r="E499" t="inlineStr">
        <is>
          <t>경계영</t>
        </is>
      </c>
      <c r="F499" t="inlineStr">
        <is>
          <t>두산중공업, 7분기 만에 순이익 흑자…자구안 이행 '파란불'(종합)</t>
        </is>
      </c>
      <c r="G499" s="2">
        <f>HYPERLINK("http://www.edaily.co.kr/news/newspath.asp?newsid=03952406629020384", "Go to Website")</f>
        <v/>
      </c>
      <c r="H499" t="inlineStr"/>
      <c r="I499" t="inlineStr">
        <is>
          <t>C29</t>
        </is>
      </c>
      <c r="J499" s="3" t="n">
        <v>0.998</v>
      </c>
      <c r="K499" t="inlineStr">
        <is>
          <t>기타 기계 및 장비 제조업</t>
        </is>
      </c>
      <c r="L499" t="inlineStr">
        <is>
          <t>1</t>
        </is>
      </c>
      <c r="M499" s="3" t="n">
        <v>0.997</v>
      </c>
      <c r="N499" t="inlineStr">
        <is>
          <t>긍정</t>
        </is>
      </c>
    </row>
    <row r="500">
      <c r="A500" s="1" t="inlineStr">
        <is>
          <t>2021-04-27</t>
        </is>
      </c>
      <c r="B500" t="inlineStr">
        <is>
          <t>news</t>
        </is>
      </c>
      <c r="C500" t="inlineStr">
        <is>
          <t>economy</t>
        </is>
      </c>
      <c r="D500" t="inlineStr">
        <is>
          <t>뉴스1</t>
        </is>
      </c>
      <c r="E500" t="inlineStr">
        <is>
          <t>구교운</t>
        </is>
      </c>
      <c r="F500" t="inlineStr">
        <is>
          <t>두산重, 1Q 영업이익 3721억…올해 수주목표 8조6500억</t>
        </is>
      </c>
      <c r="G500" s="2">
        <f>HYPERLINK("https://www.news1.kr/articles/?4288631", "Go to Website")</f>
        <v/>
      </c>
      <c r="H500" t="inlineStr"/>
      <c r="I500" t="inlineStr">
        <is>
          <t>C29</t>
        </is>
      </c>
      <c r="J500" s="3" t="n">
        <v>0.588</v>
      </c>
      <c r="K500" t="inlineStr">
        <is>
          <t>기타 기계 및 장비 제조업</t>
        </is>
      </c>
      <c r="L500" t="inlineStr"/>
      <c r="M500" t="inlineStr"/>
      <c r="N500" t="inlineStr"/>
    </row>
    <row r="501">
      <c r="A501" s="1" t="inlineStr">
        <is>
          <t>2021-04-27</t>
        </is>
      </c>
      <c r="B501" t="inlineStr">
        <is>
          <t>news</t>
        </is>
      </c>
      <c r="C501" t="inlineStr">
        <is>
          <t>economy</t>
        </is>
      </c>
      <c r="D501" t="inlineStr">
        <is>
          <t>연합뉴스</t>
        </is>
      </c>
      <c r="E501" t="inlineStr">
        <is>
          <t>김보경</t>
        </is>
      </c>
      <c r="F501" t="inlineStr">
        <is>
          <t>두산중공업 1분기 영업익 558.7%↑…순이익 흑자 전환(종합)</t>
        </is>
      </c>
      <c r="G501" s="2">
        <f>HYPERLINK("http://yna.kr/AKR20210427150051527?did=1195m", "Go to Website")</f>
        <v/>
      </c>
      <c r="H501" t="inlineStr"/>
      <c r="I501" t="inlineStr">
        <is>
          <t>C29</t>
        </is>
      </c>
      <c r="J501" s="3" t="n">
        <v>1</v>
      </c>
      <c r="K501" t="inlineStr">
        <is>
          <t>기타 기계 및 장비 제조업</t>
        </is>
      </c>
      <c r="L501" t="inlineStr">
        <is>
          <t>1</t>
        </is>
      </c>
      <c r="M501" s="3" t="n">
        <v>1</v>
      </c>
      <c r="N501" t="inlineStr">
        <is>
          <t>긍정</t>
        </is>
      </c>
    </row>
    <row r="502">
      <c r="A502" s="1" t="inlineStr">
        <is>
          <t>2021-04-27</t>
        </is>
      </c>
      <c r="B502" t="inlineStr">
        <is>
          <t>news</t>
        </is>
      </c>
      <c r="C502" t="inlineStr">
        <is>
          <t>economy</t>
        </is>
      </c>
      <c r="D502" t="inlineStr">
        <is>
          <t>한국경제</t>
        </is>
      </c>
      <c r="E502" t="inlineStr">
        <is>
          <t>백승현</t>
        </is>
      </c>
      <c r="F502" t="inlineStr">
        <is>
          <t>전기차 완속충전기 14시간 이상 점유하면 과태료 10만원</t>
        </is>
      </c>
      <c r="G502" s="2">
        <f>HYPERLINK("https://www.hankyung.com/economy/article/2021042728561", "Go to Website")</f>
        <v/>
      </c>
      <c r="H502" t="inlineStr"/>
      <c r="I502" t="inlineStr">
        <is>
          <t>100</t>
        </is>
      </c>
      <c r="J502" s="3" t="n">
        <v>0.953</v>
      </c>
      <c r="K502" t="inlineStr">
        <is>
          <t>분류 제외, 기타</t>
        </is>
      </c>
      <c r="L502" t="inlineStr"/>
      <c r="M502" t="inlineStr"/>
      <c r="N502" t="inlineStr"/>
    </row>
    <row r="503">
      <c r="A503" s="1" t="inlineStr">
        <is>
          <t>2021-04-27</t>
        </is>
      </c>
      <c r="B503" t="inlineStr">
        <is>
          <t>news</t>
        </is>
      </c>
      <c r="C503" t="inlineStr">
        <is>
          <t>economy</t>
        </is>
      </c>
      <c r="D503" t="inlineStr">
        <is>
          <t>조세일보</t>
        </is>
      </c>
      <c r="E503" t="inlineStr"/>
      <c r="F503" t="inlineStr">
        <is>
          <t>두산중공업, 1분기 실적 턴어라운드 흑자 전환</t>
        </is>
      </c>
      <c r="G503" s="2">
        <f>HYPERLINK("http://www.joseilbo.com/news/news_read.php?uid=422448&amp;class=17", "Go to Website")</f>
        <v/>
      </c>
      <c r="H503" t="inlineStr"/>
      <c r="I503" t="inlineStr">
        <is>
          <t>C29</t>
        </is>
      </c>
      <c r="J503" s="3" t="n">
        <v>0.999</v>
      </c>
      <c r="K503" t="inlineStr">
        <is>
          <t>기타 기계 및 장비 제조업</t>
        </is>
      </c>
      <c r="L503" t="inlineStr">
        <is>
          <t>1</t>
        </is>
      </c>
      <c r="M503" s="3" t="n">
        <v>1</v>
      </c>
      <c r="N503" t="inlineStr">
        <is>
          <t>긍정</t>
        </is>
      </c>
    </row>
    <row r="504">
      <c r="A504" s="1" t="inlineStr">
        <is>
          <t>2021-04-27</t>
        </is>
      </c>
      <c r="B504" t="inlineStr">
        <is>
          <t>news</t>
        </is>
      </c>
      <c r="C504" t="inlineStr">
        <is>
          <t>economy</t>
        </is>
      </c>
      <c r="D504" t="inlineStr">
        <is>
          <t>파이낸셜뉴스</t>
        </is>
      </c>
      <c r="E504" t="inlineStr">
        <is>
          <t>김미정</t>
        </is>
      </c>
      <c r="F504" t="inlineStr">
        <is>
          <t>두산중공업, 1분기 영업이익 3721억원...순이익 '흑자전환'</t>
        </is>
      </c>
      <c r="G504" s="2">
        <f>HYPERLINK("http://www.fnnews.com/news/202104271709427716", "Go to Website")</f>
        <v/>
      </c>
      <c r="H504" t="inlineStr"/>
      <c r="I504" t="inlineStr">
        <is>
          <t>C29</t>
        </is>
      </c>
      <c r="J504" s="3" t="n">
        <v>1</v>
      </c>
      <c r="K504" t="inlineStr">
        <is>
          <t>기타 기계 및 장비 제조업</t>
        </is>
      </c>
      <c r="L504" t="inlineStr">
        <is>
          <t>1</t>
        </is>
      </c>
      <c r="M504" s="3" t="n">
        <v>0.999</v>
      </c>
      <c r="N504" t="inlineStr">
        <is>
          <t>긍정</t>
        </is>
      </c>
    </row>
    <row r="505">
      <c r="A505" s="1" t="inlineStr">
        <is>
          <t>2021-04-27</t>
        </is>
      </c>
      <c r="B505" t="inlineStr">
        <is>
          <t>news</t>
        </is>
      </c>
      <c r="C505" t="inlineStr">
        <is>
          <t>economy</t>
        </is>
      </c>
      <c r="D505" t="inlineStr">
        <is>
          <t>파이낸셜뉴스</t>
        </is>
      </c>
      <c r="E505" t="inlineStr"/>
      <c r="F505" t="inlineStr">
        <is>
          <t>우리銀, '무공해 친환경 전기차' 도입 확대</t>
        </is>
      </c>
      <c r="G505" s="2">
        <f>HYPERLINK("http://www.fnnews.com/news/202104271700182002", "Go to Website")</f>
        <v/>
      </c>
      <c r="H505" t="inlineStr"/>
      <c r="I505" t="inlineStr">
        <is>
          <t>K64</t>
        </is>
      </c>
      <c r="J505" s="3" t="n">
        <v>0.994</v>
      </c>
      <c r="K505" t="inlineStr">
        <is>
          <t>금융업</t>
        </is>
      </c>
      <c r="L505" t="inlineStr">
        <is>
          <t>1</t>
        </is>
      </c>
      <c r="M505" s="3" t="n">
        <v>0.8090000000000001</v>
      </c>
      <c r="N505" t="inlineStr">
        <is>
          <t>긍정</t>
        </is>
      </c>
    </row>
    <row r="506">
      <c r="A506" s="1" t="inlineStr">
        <is>
          <t>2021-04-27</t>
        </is>
      </c>
      <c r="B506" t="inlineStr">
        <is>
          <t>news</t>
        </is>
      </c>
      <c r="C506" t="inlineStr">
        <is>
          <t>economy</t>
        </is>
      </c>
      <c r="D506" t="inlineStr">
        <is>
          <t>파이낸셜뉴스</t>
        </is>
      </c>
      <c r="E506" t="inlineStr">
        <is>
          <t>임광복</t>
        </is>
      </c>
      <c r="F506" t="inlineStr">
        <is>
          <t>천연가스 공급확대…2034년까지 5조6000억 투입</t>
        </is>
      </c>
      <c r="G506" s="2">
        <f>HYPERLINK("http://www.fnnews.com/news/202104271630430796", "Go to Website")</f>
        <v/>
      </c>
      <c r="H506" t="inlineStr"/>
      <c r="I506" t="inlineStr">
        <is>
          <t>100</t>
        </is>
      </c>
      <c r="J506" s="3" t="n">
        <v>0.893</v>
      </c>
      <c r="K506" t="inlineStr">
        <is>
          <t>분류 제외, 기타</t>
        </is>
      </c>
      <c r="L506" t="inlineStr"/>
      <c r="M506" t="inlineStr"/>
      <c r="N506" t="inlineStr"/>
    </row>
    <row r="507">
      <c r="A507" s="1" t="inlineStr">
        <is>
          <t>2021-04-27</t>
        </is>
      </c>
      <c r="B507" t="inlineStr">
        <is>
          <t>news</t>
        </is>
      </c>
      <c r="C507" t="inlineStr">
        <is>
          <t>economy</t>
        </is>
      </c>
      <c r="D507" t="inlineStr">
        <is>
          <t>데일리안</t>
        </is>
      </c>
      <c r="E507" t="inlineStr">
        <is>
          <t>박영국</t>
        </is>
      </c>
      <c r="F507" t="inlineStr">
        <is>
          <t>코나N, SUV로 저변 넓힌 고성능 N…전기·수소N도 나온다</t>
        </is>
      </c>
      <c r="G507" s="2">
        <f>HYPERLINK("https://www.dailian.co.kr/news/view/985909/", "Go to Website")</f>
        <v/>
      </c>
      <c r="H507" t="inlineStr"/>
      <c r="I507" t="inlineStr">
        <is>
          <t>C30</t>
        </is>
      </c>
      <c r="J507" s="3" t="n">
        <v>1</v>
      </c>
      <c r="K507" t="inlineStr">
        <is>
          <t>자동차 및 트레일러 제조업</t>
        </is>
      </c>
      <c r="L507" t="inlineStr">
        <is>
          <t>0</t>
        </is>
      </c>
      <c r="M507" s="3" t="n">
        <v>0.955</v>
      </c>
      <c r="N507" t="inlineStr">
        <is>
          <t>중립</t>
        </is>
      </c>
    </row>
    <row r="508">
      <c r="A508" s="1" t="inlineStr">
        <is>
          <t>2021-04-27</t>
        </is>
      </c>
      <c r="B508" t="inlineStr">
        <is>
          <t>news</t>
        </is>
      </c>
      <c r="C508" t="inlineStr">
        <is>
          <t>economy</t>
        </is>
      </c>
      <c r="D508" t="inlineStr">
        <is>
          <t>한국경제</t>
        </is>
      </c>
      <c r="E508" t="inlineStr">
        <is>
          <t>정의진</t>
        </is>
      </c>
      <c r="F508" t="inlineStr">
        <is>
          <t>자동차안전연구원 , 자동차 결함 신속 조사…리콜 조치</t>
        </is>
      </c>
      <c r="G508" s="2">
        <f>HYPERLINK("https://www.hankyung.com/economy/article/2021042795681", "Go to Website")</f>
        <v/>
      </c>
      <c r="H508" t="inlineStr"/>
      <c r="I508" t="inlineStr">
        <is>
          <t>C30</t>
        </is>
      </c>
      <c r="J508" s="3" t="n">
        <v>0.654</v>
      </c>
      <c r="K508" t="inlineStr">
        <is>
          <t>자동차 및 트레일러 제조업</t>
        </is>
      </c>
      <c r="L508" t="inlineStr"/>
      <c r="M508" t="inlineStr"/>
      <c r="N508" t="inlineStr"/>
    </row>
    <row r="509">
      <c r="A509" s="1" t="inlineStr">
        <is>
          <t>2021-04-27</t>
        </is>
      </c>
      <c r="B509" t="inlineStr">
        <is>
          <t>news</t>
        </is>
      </c>
      <c r="C509" t="inlineStr">
        <is>
          <t>economy</t>
        </is>
      </c>
      <c r="D509" t="inlineStr">
        <is>
          <t>한국경제</t>
        </is>
      </c>
      <c r="E509" t="inlineStr">
        <is>
          <t>김소현</t>
        </is>
      </c>
      <c r="F509" t="inlineStr">
        <is>
          <t>한국환경산업기술원, 탄소중립 실천 '대국민 캠페인' 추진</t>
        </is>
      </c>
      <c r="G509" s="2">
        <f>HYPERLINK("https://www.hankyung.com/economy/article/2021042795781", "Go to Website")</f>
        <v/>
      </c>
      <c r="H509" t="inlineStr"/>
      <c r="I509" t="inlineStr">
        <is>
          <t>A01</t>
        </is>
      </c>
      <c r="J509" s="3" t="n">
        <v>0.905</v>
      </c>
      <c r="K509" t="inlineStr">
        <is>
          <t>농업</t>
        </is>
      </c>
      <c r="L509" t="inlineStr"/>
      <c r="M509" t="inlineStr"/>
      <c r="N509" t="inlineStr"/>
    </row>
    <row r="510">
      <c r="A510" s="1" t="inlineStr">
        <is>
          <t>2021-04-27</t>
        </is>
      </c>
      <c r="B510" t="inlineStr">
        <is>
          <t>news</t>
        </is>
      </c>
      <c r="C510" t="inlineStr">
        <is>
          <t>economy</t>
        </is>
      </c>
      <c r="D510" t="inlineStr">
        <is>
          <t>디지털타임스</t>
        </is>
      </c>
      <c r="E510" t="inlineStr"/>
      <c r="F510" t="inlineStr">
        <is>
          <t>수소차·LNG발전 증가 따라…2034년 천연가스 수요 5000만톤 예상</t>
        </is>
      </c>
      <c r="G510" s="2">
        <f>HYPERLINK("http://www.dt.co.kr/contents.html?article_no=2021042702109958063005", "Go to Website")</f>
        <v/>
      </c>
      <c r="H510" t="inlineStr"/>
      <c r="I510" t="inlineStr">
        <is>
          <t>100</t>
        </is>
      </c>
      <c r="J510" s="3" t="n">
        <v>1</v>
      </c>
      <c r="K510" t="inlineStr">
        <is>
          <t>분류 제외, 기타</t>
        </is>
      </c>
      <c r="L510" t="inlineStr"/>
      <c r="M510" t="inlineStr"/>
      <c r="N510" t="inlineStr"/>
    </row>
    <row r="511">
      <c r="A511" s="1" t="inlineStr">
        <is>
          <t>2021-04-27</t>
        </is>
      </c>
      <c r="B511" t="inlineStr">
        <is>
          <t>news</t>
        </is>
      </c>
      <c r="C511" t="inlineStr">
        <is>
          <t>economy</t>
        </is>
      </c>
      <c r="D511" t="inlineStr">
        <is>
          <t>서울경제</t>
        </is>
      </c>
      <c r="E511" t="inlineStr">
        <is>
          <t>박홍용</t>
        </is>
      </c>
      <c r="F511" t="inlineStr">
        <is>
          <t>도로교통공단, 2021년도 자동차 운전면허 학과시험 국민참여 공모전</t>
        </is>
      </c>
      <c r="G511" s="2">
        <f>HYPERLINK("https://www.sedaily.com/NewsView/22L8WFJ80R", "Go to Website")</f>
        <v/>
      </c>
      <c r="H511" t="inlineStr"/>
      <c r="I511" t="inlineStr">
        <is>
          <t>J58</t>
        </is>
      </c>
      <c r="J511" s="3" t="n">
        <v>0.8</v>
      </c>
      <c r="K511" t="inlineStr">
        <is>
          <t>출판업</t>
        </is>
      </c>
      <c r="L511" t="inlineStr"/>
      <c r="M511" t="inlineStr"/>
      <c r="N511" t="inlineStr"/>
    </row>
    <row r="512">
      <c r="A512" s="1" t="inlineStr">
        <is>
          <t>2021-04-27</t>
        </is>
      </c>
      <c r="B512" t="inlineStr">
        <is>
          <t>news</t>
        </is>
      </c>
      <c r="C512" t="inlineStr">
        <is>
          <t>economy</t>
        </is>
      </c>
      <c r="D512" t="inlineStr">
        <is>
          <t>노컷뉴스</t>
        </is>
      </c>
      <c r="E512" t="inlineStr">
        <is>
          <t>김선경</t>
        </is>
      </c>
      <c r="F512" t="inlineStr">
        <is>
          <t>전기차 완속충전기 14시간 이상 점유시 과태료 10만원</t>
        </is>
      </c>
      <c r="G512" s="2">
        <f>HYPERLINK("https://www.nocutnews.co.kr/news/5542939", "Go to Website")</f>
        <v/>
      </c>
      <c r="H512" t="inlineStr"/>
      <c r="I512" t="inlineStr">
        <is>
          <t>100</t>
        </is>
      </c>
      <c r="J512" s="3" t="n">
        <v>0.964</v>
      </c>
      <c r="K512" t="inlineStr">
        <is>
          <t>분류 제외, 기타</t>
        </is>
      </c>
      <c r="L512" t="inlineStr"/>
      <c r="M512" t="inlineStr"/>
      <c r="N512" t="inlineStr"/>
    </row>
    <row r="513">
      <c r="A513" s="1" t="inlineStr">
        <is>
          <t>2021-04-27</t>
        </is>
      </c>
      <c r="B513" t="inlineStr">
        <is>
          <t>news</t>
        </is>
      </c>
      <c r="C513" t="inlineStr">
        <is>
          <t>economy</t>
        </is>
      </c>
      <c r="D513" t="inlineStr">
        <is>
          <t>KBS</t>
        </is>
      </c>
      <c r="E513" t="inlineStr"/>
      <c r="F513" t="inlineStr">
        <is>
          <t>산업부 “공공기관, 친환경차 의무구매비율 100%로 확대”</t>
        </is>
      </c>
      <c r="G513" s="2">
        <f>HYPERLINK("http://news.kbs.co.kr/news/view.do?ncd=5172303&amp;ref=A", "Go to Website")</f>
        <v/>
      </c>
      <c r="H513" t="inlineStr"/>
      <c r="I513" t="inlineStr">
        <is>
          <t>100</t>
        </is>
      </c>
      <c r="J513" s="3" t="n">
        <v>0.465</v>
      </c>
      <c r="K513" t="inlineStr">
        <is>
          <t>분류 제외, 기타</t>
        </is>
      </c>
      <c r="L513" t="inlineStr"/>
      <c r="M513" t="inlineStr"/>
      <c r="N513" t="inlineStr"/>
    </row>
    <row r="514">
      <c r="A514" s="1" t="inlineStr">
        <is>
          <t>2021-04-27</t>
        </is>
      </c>
      <c r="B514" t="inlineStr">
        <is>
          <t>news</t>
        </is>
      </c>
      <c r="C514" t="inlineStr">
        <is>
          <t>economy</t>
        </is>
      </c>
      <c r="D514" t="inlineStr">
        <is>
          <t>연합뉴스</t>
        </is>
      </c>
      <c r="E514" t="inlineStr">
        <is>
          <t>여운창</t>
        </is>
      </c>
      <c r="F514" t="inlineStr">
        <is>
          <t>미래차 전자기파 인증시스템, 전남 영광에 구축</t>
        </is>
      </c>
      <c r="G514" s="2">
        <f>HYPERLINK("http://yna.kr/AKR20210427104000054?did=1195m", "Go to Website")</f>
        <v/>
      </c>
      <c r="H514" t="inlineStr"/>
      <c r="I514" t="inlineStr">
        <is>
          <t>C29</t>
        </is>
      </c>
      <c r="J514" s="3" t="n">
        <v>1</v>
      </c>
      <c r="K514" t="inlineStr">
        <is>
          <t>기타 기계 및 장비 제조업</t>
        </is>
      </c>
      <c r="L514" t="inlineStr"/>
      <c r="M514" t="inlineStr"/>
      <c r="N514" t="inlineStr"/>
    </row>
    <row r="515">
      <c r="A515" s="1" t="inlineStr">
        <is>
          <t>2021-04-27</t>
        </is>
      </c>
      <c r="B515" t="inlineStr">
        <is>
          <t>news</t>
        </is>
      </c>
      <c r="C515" t="inlineStr">
        <is>
          <t>tech</t>
        </is>
      </c>
      <c r="D515" t="inlineStr">
        <is>
          <t>블로터</t>
        </is>
      </c>
      <c r="E515" t="inlineStr">
        <is>
          <t>구태우</t>
        </is>
      </c>
      <c r="F515" t="inlineStr">
        <is>
          <t>[EV·수소 밸류체인]한국타이어 배터리, 테슬라 브랜드 입는다</t>
        </is>
      </c>
      <c r="G515" s="2">
        <f>HYPERLINK("http://www.bloter.net/newsView/blt202104270007", "Go to Website")</f>
        <v/>
      </c>
      <c r="H515" t="inlineStr"/>
      <c r="I515" t="inlineStr"/>
      <c r="J515" t="inlineStr"/>
      <c r="K515" t="inlineStr"/>
      <c r="L515" t="inlineStr"/>
      <c r="M515" t="inlineStr"/>
      <c r="N515" t="inlineStr"/>
    </row>
    <row r="516">
      <c r="A516" s="1" t="inlineStr">
        <is>
          <t>2021-04-27</t>
        </is>
      </c>
      <c r="B516" t="inlineStr">
        <is>
          <t>news</t>
        </is>
      </c>
      <c r="C516" t="inlineStr">
        <is>
          <t>economy</t>
        </is>
      </c>
      <c r="D516" t="inlineStr">
        <is>
          <t>매일신문</t>
        </is>
      </c>
      <c r="E516" t="inlineStr">
        <is>
          <t>박영채</t>
        </is>
      </c>
      <c r="F516" t="inlineStr">
        <is>
          <t>경북도, 자동차 산업 생태계 전환에 역량 집중한다</t>
        </is>
      </c>
      <c r="G516" s="2">
        <f>HYPERLINK("https://news.imaeil.com/Economy/2021042622320562279", "Go to Website")</f>
        <v/>
      </c>
      <c r="H516" t="inlineStr"/>
      <c r="I516" t="inlineStr">
        <is>
          <t>100</t>
        </is>
      </c>
      <c r="J516" s="3" t="n">
        <v>0.451</v>
      </c>
      <c r="K516" t="inlineStr">
        <is>
          <t>분류 제외, 기타</t>
        </is>
      </c>
      <c r="L516" t="inlineStr"/>
      <c r="M516" t="inlineStr"/>
      <c r="N516" t="inlineStr"/>
    </row>
    <row r="517">
      <c r="A517" s="1" t="inlineStr">
        <is>
          <t>2021-04-27</t>
        </is>
      </c>
      <c r="B517" t="inlineStr">
        <is>
          <t>news</t>
        </is>
      </c>
      <c r="C517" t="inlineStr">
        <is>
          <t>economy</t>
        </is>
      </c>
      <c r="D517" t="inlineStr">
        <is>
          <t>경향신문</t>
        </is>
      </c>
      <c r="E517" t="inlineStr">
        <is>
          <t>박효재</t>
        </is>
      </c>
      <c r="F517" t="inlineStr">
        <is>
          <t>전기차 완속충전기 14시간 이상 점유시 과태료 10만원</t>
        </is>
      </c>
      <c r="G517" s="2">
        <f>HYPERLINK("http://news.khan.co.kr/kh_news/khan_art_view.html?artid=202104271337001&amp;code=920501", "Go to Website")</f>
        <v/>
      </c>
      <c r="H517" t="inlineStr"/>
      <c r="I517" t="inlineStr">
        <is>
          <t>100</t>
        </is>
      </c>
      <c r="J517" s="3" t="n">
        <v>0.993</v>
      </c>
      <c r="K517" t="inlineStr">
        <is>
          <t>분류 제외, 기타</t>
        </is>
      </c>
      <c r="L517" t="inlineStr"/>
      <c r="M517" t="inlineStr"/>
      <c r="N517" t="inlineStr"/>
    </row>
    <row r="518">
      <c r="A518" s="1" t="inlineStr">
        <is>
          <t>2021-04-27</t>
        </is>
      </c>
      <c r="B518" t="inlineStr">
        <is>
          <t>news</t>
        </is>
      </c>
      <c r="C518" t="inlineStr">
        <is>
          <t>economy</t>
        </is>
      </c>
      <c r="D518" t="inlineStr">
        <is>
          <t>전자신문</t>
        </is>
      </c>
      <c r="E518" t="inlineStr">
        <is>
          <t>윤희석</t>
        </is>
      </c>
      <c r="F518" t="inlineStr">
        <is>
          <t>공공기관, '친환경차' 100% 의무구매…관련 법 개정안 국무회의 통과</t>
        </is>
      </c>
      <c r="G518" s="2">
        <f>HYPERLINK("http://www.etnews.com/20210427000124", "Go to Website")</f>
        <v/>
      </c>
      <c r="H518" t="inlineStr"/>
      <c r="I518" t="inlineStr">
        <is>
          <t>100</t>
        </is>
      </c>
      <c r="J518" s="3" t="n">
        <v>0.615</v>
      </c>
      <c r="K518" t="inlineStr">
        <is>
          <t>분류 제외, 기타</t>
        </is>
      </c>
      <c r="L518" t="inlineStr"/>
      <c r="M518" t="inlineStr"/>
      <c r="N518" t="inlineStr"/>
    </row>
    <row r="519">
      <c r="A519" s="1" t="inlineStr">
        <is>
          <t>2021-04-27</t>
        </is>
      </c>
      <c r="B519" t="inlineStr">
        <is>
          <t>news</t>
        </is>
      </c>
      <c r="C519" t="inlineStr">
        <is>
          <t>economy</t>
        </is>
      </c>
      <c r="D519" t="inlineStr">
        <is>
          <t>문화일보</t>
        </is>
      </c>
      <c r="E519" t="inlineStr">
        <is>
          <t>박수진</t>
        </is>
      </c>
      <c r="F519" t="inlineStr">
        <is>
          <t>전기차 완속 충전기 14시간 이상 점유땐 과태료 10만원 부과</t>
        </is>
      </c>
      <c r="G519" s="2">
        <f>HYPERLINK("http://www.munhwa.com/news/view.html?no=2021042701032303017001", "Go to Website")</f>
        <v/>
      </c>
      <c r="H519" t="inlineStr"/>
      <c r="I519" t="inlineStr">
        <is>
          <t>100</t>
        </is>
      </c>
      <c r="J519" s="3" t="n">
        <v>0.621</v>
      </c>
      <c r="K519" t="inlineStr">
        <is>
          <t>분류 제외, 기타</t>
        </is>
      </c>
      <c r="L519" t="inlineStr"/>
      <c r="M519" t="inlineStr"/>
      <c r="N519" t="inlineStr"/>
    </row>
    <row r="520">
      <c r="A520" s="1" t="inlineStr">
        <is>
          <t>2021-04-27</t>
        </is>
      </c>
      <c r="B520" t="inlineStr">
        <is>
          <t>news</t>
        </is>
      </c>
      <c r="C520" t="inlineStr">
        <is>
          <t>economy</t>
        </is>
      </c>
      <c r="D520" t="inlineStr">
        <is>
          <t>매일경제</t>
        </is>
      </c>
      <c r="E520" t="inlineStr">
        <is>
          <t>매경닷컴</t>
        </is>
      </c>
      <c r="F520" t="inlineStr">
        <is>
          <t>수소차 '넥쏘', 안절부절 충전 걱정 뚝…고속도로 충전소 60기 생긴다</t>
        </is>
      </c>
      <c r="G520" s="2">
        <f>HYPERLINK("http://news.mk.co.kr/newsRead.php?no=403945&amp;year=2021", "Go to Website")</f>
        <v/>
      </c>
      <c r="H520" t="inlineStr"/>
      <c r="I520" t="inlineStr">
        <is>
          <t>C29</t>
        </is>
      </c>
      <c r="J520" s="3" t="n">
        <v>0.521</v>
      </c>
      <c r="K520" t="inlineStr">
        <is>
          <t>기타 기계 및 장비 제조업</t>
        </is>
      </c>
      <c r="L520" t="inlineStr">
        <is>
          <t>0</t>
        </is>
      </c>
      <c r="M520" s="3" t="n">
        <v>0.806</v>
      </c>
      <c r="N520" t="inlineStr">
        <is>
          <t>중립</t>
        </is>
      </c>
    </row>
    <row r="521">
      <c r="A521" s="1" t="inlineStr">
        <is>
          <t>2021-04-27</t>
        </is>
      </c>
      <c r="B521" t="inlineStr">
        <is>
          <t>news</t>
        </is>
      </c>
      <c r="C521" t="inlineStr">
        <is>
          <t>economy</t>
        </is>
      </c>
      <c r="D521" t="inlineStr">
        <is>
          <t>이데일리</t>
        </is>
      </c>
      <c r="E521" t="inlineStr">
        <is>
          <t>김상윤</t>
        </is>
      </c>
      <c r="F521" t="inlineStr">
        <is>
          <t>전기차 완속충전기 14시간 이상 점유하면 과태료 10만원</t>
        </is>
      </c>
      <c r="G521" s="2">
        <f>HYPERLINK("http://www.edaily.co.kr/news/newspath.asp?newsid=02479686629020384", "Go to Website")</f>
        <v/>
      </c>
      <c r="H521" t="inlineStr"/>
      <c r="I521" t="inlineStr">
        <is>
          <t>100</t>
        </is>
      </c>
      <c r="J521" s="3" t="n">
        <v>0.959</v>
      </c>
      <c r="K521" t="inlineStr">
        <is>
          <t>분류 제외, 기타</t>
        </is>
      </c>
      <c r="L521" t="inlineStr"/>
      <c r="M521" t="inlineStr"/>
      <c r="N521" t="inlineStr"/>
    </row>
    <row r="522">
      <c r="A522" s="1" t="inlineStr">
        <is>
          <t>2021-04-27</t>
        </is>
      </c>
      <c r="B522" t="inlineStr">
        <is>
          <t>news</t>
        </is>
      </c>
      <c r="C522" t="inlineStr">
        <is>
          <t>economy</t>
        </is>
      </c>
      <c r="D522" t="inlineStr">
        <is>
          <t>연합뉴스</t>
        </is>
      </c>
      <c r="E522" t="inlineStr">
        <is>
          <t>윤보람</t>
        </is>
      </c>
      <c r="F522" t="inlineStr">
        <is>
          <t>2034년 천연가스 수요 5천만t…공급설비 확충에 5.6조원 투자</t>
        </is>
      </c>
      <c r="G522" s="2">
        <f>HYPERLINK("http://yna.kr/AKR20210427077200003?did=1195m", "Go to Website")</f>
        <v/>
      </c>
      <c r="H522" t="inlineStr"/>
      <c r="I522" t="inlineStr">
        <is>
          <t>B05</t>
        </is>
      </c>
      <c r="J522" s="3" t="n">
        <v>0.897</v>
      </c>
      <c r="K522" t="inlineStr">
        <is>
          <t>석탄, 원유 및 천연가스 광업</t>
        </is>
      </c>
      <c r="L522" t="inlineStr"/>
      <c r="M522" t="inlineStr"/>
      <c r="N522" t="inlineStr"/>
    </row>
    <row r="523">
      <c r="A523" s="1" t="inlineStr">
        <is>
          <t>2021-04-27</t>
        </is>
      </c>
      <c r="B523" t="inlineStr">
        <is>
          <t>news</t>
        </is>
      </c>
      <c r="C523" t="inlineStr">
        <is>
          <t>economy</t>
        </is>
      </c>
      <c r="D523" t="inlineStr">
        <is>
          <t>연합뉴스</t>
        </is>
      </c>
      <c r="E523" t="inlineStr">
        <is>
          <t>백도인</t>
        </is>
      </c>
      <c r="F523" t="inlineStr">
        <is>
          <t>익산시, 친환경 수소차 180대 보급…대당 3천650만원 지원</t>
        </is>
      </c>
      <c r="G523" s="2">
        <f>HYPERLINK("http://yna.kr/AKR20210427076900055?did=1195m", "Go to Website")</f>
        <v/>
      </c>
      <c r="H523" t="inlineStr"/>
      <c r="I523" t="inlineStr">
        <is>
          <t>H49</t>
        </is>
      </c>
      <c r="J523" s="3" t="n">
        <v>0.736</v>
      </c>
      <c r="K523" t="inlineStr">
        <is>
          <t>육상 운송 및 파이프라인 운송업</t>
        </is>
      </c>
      <c r="L523" t="inlineStr"/>
      <c r="M523" t="inlineStr"/>
      <c r="N523" t="inlineStr"/>
    </row>
    <row r="524">
      <c r="A524" s="1" t="inlineStr">
        <is>
          <t>2021-04-27</t>
        </is>
      </c>
      <c r="B524" t="inlineStr">
        <is>
          <t>news</t>
        </is>
      </c>
      <c r="C524" t="inlineStr">
        <is>
          <t>economy</t>
        </is>
      </c>
      <c r="D524" t="inlineStr">
        <is>
          <t>스포츠조선</t>
        </is>
      </c>
      <c r="E524" t="inlineStr">
        <is>
          <t>이정혁</t>
        </is>
      </c>
      <c r="F524" t="inlineStr">
        <is>
          <t>전기차 완속충전기, 14시간 이상 점유시 과태료 10만원 부과</t>
        </is>
      </c>
      <c r="G524" s="2">
        <f>HYPERLINK("http://sports.chosun.com/news/ntype.htm?id=202104280100226220014821&amp;servicedate=20210427", "Go to Website")</f>
        <v/>
      </c>
      <c r="H524" t="inlineStr"/>
      <c r="I524" t="inlineStr">
        <is>
          <t>100</t>
        </is>
      </c>
      <c r="J524" s="3" t="n">
        <v>0.989</v>
      </c>
      <c r="K524" t="inlineStr">
        <is>
          <t>분류 제외, 기타</t>
        </is>
      </c>
      <c r="L524" t="inlineStr"/>
      <c r="M524" t="inlineStr"/>
      <c r="N524" t="inlineStr"/>
    </row>
    <row r="525">
      <c r="A525" s="1" t="inlineStr">
        <is>
          <t>2021-04-27</t>
        </is>
      </c>
      <c r="B525" t="inlineStr">
        <is>
          <t>news</t>
        </is>
      </c>
      <c r="C525" t="inlineStr">
        <is>
          <t>economy</t>
        </is>
      </c>
      <c r="D525" t="inlineStr">
        <is>
          <t>아이뉴스24</t>
        </is>
      </c>
      <c r="E525" t="inlineStr">
        <is>
          <t>정종오</t>
        </is>
      </c>
      <c r="F525" t="inlineStr">
        <is>
          <t>전기차 완속 충전기 장시간 사용하면 과태료 부과</t>
        </is>
      </c>
      <c r="G525" s="2">
        <f>HYPERLINK("http://www.inews24.com/view/1362058", "Go to Website")</f>
        <v/>
      </c>
      <c r="H525" t="inlineStr"/>
      <c r="I525" t="inlineStr">
        <is>
          <t>100</t>
        </is>
      </c>
      <c r="J525" s="3" t="n">
        <v>0.992</v>
      </c>
      <c r="K525" t="inlineStr">
        <is>
          <t>분류 제외, 기타</t>
        </is>
      </c>
      <c r="L525" t="inlineStr"/>
      <c r="M525" t="inlineStr"/>
      <c r="N525" t="inlineStr"/>
    </row>
    <row r="526">
      <c r="A526" s="1" t="inlineStr">
        <is>
          <t>2021-04-27</t>
        </is>
      </c>
      <c r="B526" t="inlineStr">
        <is>
          <t>news</t>
        </is>
      </c>
      <c r="C526" t="inlineStr">
        <is>
          <t>economy</t>
        </is>
      </c>
      <c r="D526" t="inlineStr">
        <is>
          <t>이데일리</t>
        </is>
      </c>
      <c r="E526" t="inlineStr">
        <is>
          <t>문승관</t>
        </is>
      </c>
      <c r="F526" t="inlineStr">
        <is>
          <t>탄소중립 추진에 늘어난 LNG 수요…2034년 4800만톤</t>
        </is>
      </c>
      <c r="G526" s="2">
        <f>HYPERLINK("http://www.edaily.co.kr/news/newspath.asp?newsid=02312406629020384", "Go to Website")</f>
        <v/>
      </c>
      <c r="H526" t="inlineStr"/>
      <c r="I526" t="inlineStr">
        <is>
          <t>B05</t>
        </is>
      </c>
      <c r="J526" s="3" t="n">
        <v>0.793</v>
      </c>
      <c r="K526" t="inlineStr">
        <is>
          <t>석탄, 원유 및 천연가스 광업</t>
        </is>
      </c>
      <c r="L526" t="inlineStr"/>
      <c r="M526" t="inlineStr"/>
      <c r="N526" t="inlineStr"/>
    </row>
    <row r="527">
      <c r="A527" s="1" t="inlineStr">
        <is>
          <t>2021-04-27</t>
        </is>
      </c>
      <c r="B527" t="inlineStr">
        <is>
          <t>news</t>
        </is>
      </c>
      <c r="C527" t="inlineStr">
        <is>
          <t>economy</t>
        </is>
      </c>
      <c r="D527" t="inlineStr">
        <is>
          <t>뉴시스</t>
        </is>
      </c>
      <c r="E527" t="inlineStr">
        <is>
          <t>맹대환</t>
        </is>
      </c>
      <c r="F527" t="inlineStr">
        <is>
          <t>영광에 국내 첫 미래차 전자기파 인증시스템 구축</t>
        </is>
      </c>
      <c r="G527" s="2">
        <f>HYPERLINK("http://www.newsis.com/view/?id=NISX20210427_0001421123&amp;cID=10809&amp;pID=10800", "Go to Website")</f>
        <v/>
      </c>
      <c r="H527" t="inlineStr"/>
      <c r="I527" t="inlineStr">
        <is>
          <t>C29</t>
        </is>
      </c>
      <c r="J527" s="3" t="n">
        <v>1</v>
      </c>
      <c r="K527" t="inlineStr">
        <is>
          <t>기타 기계 및 장비 제조업</t>
        </is>
      </c>
      <c r="L527" t="inlineStr"/>
      <c r="M527" t="inlineStr"/>
      <c r="N527" t="inlineStr"/>
    </row>
    <row r="528">
      <c r="A528" s="1" t="inlineStr">
        <is>
          <t>2021-04-27</t>
        </is>
      </c>
      <c r="B528" t="inlineStr">
        <is>
          <t>news</t>
        </is>
      </c>
      <c r="C528" t="inlineStr">
        <is>
          <t>economy</t>
        </is>
      </c>
      <c r="D528" t="inlineStr">
        <is>
          <t>파이낸셜뉴스</t>
        </is>
      </c>
      <c r="E528" t="inlineStr">
        <is>
          <t>임광복</t>
        </is>
      </c>
      <c r="F528" t="inlineStr">
        <is>
          <t>공공기관, 친환경차만 살 수 있다 '의무구매 100%'</t>
        </is>
      </c>
      <c r="G528" s="2">
        <f>HYPERLINK("http://www.fnnews.com/news/202104271058578722", "Go to Website")</f>
        <v/>
      </c>
      <c r="H528" t="inlineStr"/>
      <c r="I528" t="inlineStr">
        <is>
          <t>100</t>
        </is>
      </c>
      <c r="J528" s="3" t="n">
        <v>0.988</v>
      </c>
      <c r="K528" t="inlineStr">
        <is>
          <t>분류 제외, 기타</t>
        </is>
      </c>
      <c r="L528" t="inlineStr"/>
      <c r="M528" t="inlineStr"/>
      <c r="N528" t="inlineStr"/>
    </row>
    <row r="529">
      <c r="A529" s="1" t="inlineStr">
        <is>
          <t>2021-04-27</t>
        </is>
      </c>
      <c r="B529" t="inlineStr">
        <is>
          <t>news</t>
        </is>
      </c>
      <c r="C529" t="inlineStr">
        <is>
          <t>economy</t>
        </is>
      </c>
      <c r="D529" t="inlineStr">
        <is>
          <t>헤럴드경제</t>
        </is>
      </c>
      <c r="E529" t="inlineStr">
        <is>
          <t>배문숙</t>
        </is>
      </c>
      <c r="F529" t="inlineStr">
        <is>
          <t>전기차 완속충전기 14시간 이상 점유시 과태료 10만원</t>
        </is>
      </c>
      <c r="G529" s="2">
        <f>HYPERLINK("http://news.heraldcorp.com/view.php?ud=20210427000386", "Go to Website")</f>
        <v/>
      </c>
      <c r="H529" t="inlineStr"/>
      <c r="I529" t="inlineStr">
        <is>
          <t>100</t>
        </is>
      </c>
      <c r="J529" s="3" t="n">
        <v>0.995</v>
      </c>
      <c r="K529" t="inlineStr">
        <is>
          <t>분류 제외, 기타</t>
        </is>
      </c>
      <c r="L529" t="inlineStr"/>
      <c r="M529" t="inlineStr"/>
      <c r="N529" t="inlineStr"/>
    </row>
    <row r="530">
      <c r="A530" s="1" t="inlineStr">
        <is>
          <t>2021-04-27</t>
        </is>
      </c>
      <c r="B530" t="inlineStr">
        <is>
          <t>news</t>
        </is>
      </c>
      <c r="C530" t="inlineStr">
        <is>
          <t>economy</t>
        </is>
      </c>
      <c r="D530" t="inlineStr">
        <is>
          <t>조선비즈</t>
        </is>
      </c>
      <c r="E530" t="inlineStr">
        <is>
          <t>박정엽</t>
        </is>
      </c>
      <c r="F530" t="inlineStr">
        <is>
          <t>천연가스, 가정·발전수요는 '주춤' 산업용은 '증가'...수소산업 전용요금제 도입</t>
        </is>
      </c>
      <c r="G530" s="2">
        <f>HYPERLINK("https://biz.chosun.com/site/data/html_dir/2021/04/27/2021042700950.html?utm_medium=original&amp;utm_campaign=biz", "Go to Website")</f>
        <v/>
      </c>
      <c r="H530" t="inlineStr"/>
      <c r="I530" t="inlineStr">
        <is>
          <t>100</t>
        </is>
      </c>
      <c r="J530" s="3" t="n">
        <v>0.998</v>
      </c>
      <c r="K530" t="inlineStr">
        <is>
          <t>분류 제외, 기타</t>
        </is>
      </c>
      <c r="L530" t="inlineStr"/>
      <c r="M530" t="inlineStr"/>
      <c r="N530" t="inlineStr"/>
    </row>
    <row r="531">
      <c r="A531" s="1" t="inlineStr">
        <is>
          <t>2021-04-27</t>
        </is>
      </c>
      <c r="B531" t="inlineStr">
        <is>
          <t>news</t>
        </is>
      </c>
      <c r="C531" t="inlineStr">
        <is>
          <t>economy</t>
        </is>
      </c>
      <c r="D531" t="inlineStr">
        <is>
          <t>한겨레</t>
        </is>
      </c>
      <c r="E531" t="inlineStr"/>
      <c r="F531" t="inlineStr">
        <is>
          <t>공공기관 ‘친환경차’ 의무구매 비율 70%→100%</t>
        </is>
      </c>
      <c r="G531" s="2">
        <f>HYPERLINK("http://www.hani.co.kr/arti/economy/economy_general/992760.html", "Go to Website")</f>
        <v/>
      </c>
      <c r="H531" t="inlineStr"/>
      <c r="I531" t="inlineStr">
        <is>
          <t>100</t>
        </is>
      </c>
      <c r="J531" s="3" t="n">
        <v>0.8090000000000001</v>
      </c>
      <c r="K531" t="inlineStr">
        <is>
          <t>분류 제외, 기타</t>
        </is>
      </c>
      <c r="L531" t="inlineStr">
        <is>
          <t>0</t>
        </is>
      </c>
      <c r="M531" s="3" t="n">
        <v>0.998</v>
      </c>
      <c r="N531" t="inlineStr">
        <is>
          <t>중립</t>
        </is>
      </c>
    </row>
    <row r="532">
      <c r="A532" s="1" t="inlineStr">
        <is>
          <t>2021-04-27</t>
        </is>
      </c>
      <c r="B532" t="inlineStr">
        <is>
          <t>news</t>
        </is>
      </c>
      <c r="C532" t="inlineStr">
        <is>
          <t>economy</t>
        </is>
      </c>
      <c r="D532" t="inlineStr">
        <is>
          <t>아시아경제</t>
        </is>
      </c>
      <c r="E532" t="inlineStr">
        <is>
          <t>주상돈</t>
        </is>
      </c>
      <c r="F532" t="inlineStr">
        <is>
          <t>공공기관은 앞으로 '전기·수소·하이브리드車'만 구매해야</t>
        </is>
      </c>
      <c r="G532" s="2">
        <f>HYPERLINK("https://view.asiae.co.kr/article/2021042708363432510", "Go to Website")</f>
        <v/>
      </c>
      <c r="H532" t="inlineStr"/>
      <c r="I532" t="inlineStr">
        <is>
          <t>100</t>
        </is>
      </c>
      <c r="J532" s="3" t="n">
        <v>0.973</v>
      </c>
      <c r="K532" t="inlineStr">
        <is>
          <t>분류 제외, 기타</t>
        </is>
      </c>
      <c r="L532" t="inlineStr"/>
      <c r="M532" t="inlineStr"/>
      <c r="N532" t="inlineStr"/>
    </row>
    <row r="533">
      <c r="A533" s="1" t="inlineStr">
        <is>
          <t>2021-04-27</t>
        </is>
      </c>
      <c r="B533" t="inlineStr">
        <is>
          <t>news</t>
        </is>
      </c>
      <c r="C533" t="inlineStr">
        <is>
          <t>economy</t>
        </is>
      </c>
      <c r="D533" t="inlineStr">
        <is>
          <t>뉴스1</t>
        </is>
      </c>
      <c r="E533" t="inlineStr">
        <is>
          <t>나혜윤</t>
        </is>
      </c>
      <c r="F533" t="inlineStr">
        <is>
          <t>전기차 완속충전기 '14시간' 이상 점유시 10만원 과태료</t>
        </is>
      </c>
      <c r="G533" s="2">
        <f>HYPERLINK("https://www.news1.kr/articles/?4287812", "Go to Website")</f>
        <v/>
      </c>
      <c r="H533" t="inlineStr"/>
      <c r="I533" t="inlineStr">
        <is>
          <t>100</t>
        </is>
      </c>
      <c r="J533" s="3" t="n">
        <v>0.992</v>
      </c>
      <c r="K533" t="inlineStr">
        <is>
          <t>분류 제외, 기타</t>
        </is>
      </c>
      <c r="L533" t="inlineStr"/>
      <c r="M533" t="inlineStr"/>
      <c r="N533" t="inlineStr"/>
    </row>
    <row r="534">
      <c r="A534" s="1" t="inlineStr">
        <is>
          <t>2021-04-27</t>
        </is>
      </c>
      <c r="B534" t="inlineStr">
        <is>
          <t>news</t>
        </is>
      </c>
      <c r="C534" t="inlineStr">
        <is>
          <t>economy</t>
        </is>
      </c>
      <c r="D534" t="inlineStr">
        <is>
          <t>한국경제TV</t>
        </is>
      </c>
      <c r="E534" t="inlineStr">
        <is>
          <t>임원식</t>
        </is>
      </c>
      <c r="F534" t="inlineStr">
        <is>
          <t>전기차 충전 14시간 넘기면 과태료 문다</t>
        </is>
      </c>
      <c r="G534" s="2">
        <f>HYPERLINK("http://www.wowtv.co.kr/NewsCenter/News/Read?articleId=A202104260284&amp;t=NN", "Go to Website")</f>
        <v/>
      </c>
      <c r="H534" t="inlineStr"/>
      <c r="I534" t="inlineStr">
        <is>
          <t>100</t>
        </is>
      </c>
      <c r="J534" s="3" t="n">
        <v>0.573</v>
      </c>
      <c r="K534" t="inlineStr">
        <is>
          <t>분류 제외, 기타</t>
        </is>
      </c>
      <c r="L534" t="inlineStr"/>
      <c r="M534" t="inlineStr"/>
      <c r="N534" t="inlineStr"/>
    </row>
    <row r="535">
      <c r="A535" s="1" t="inlineStr">
        <is>
          <t>2021-04-27</t>
        </is>
      </c>
      <c r="B535" t="inlineStr">
        <is>
          <t>news</t>
        </is>
      </c>
      <c r="C535" t="inlineStr">
        <is>
          <t>economy</t>
        </is>
      </c>
      <c r="D535" t="inlineStr">
        <is>
          <t>연합뉴스</t>
        </is>
      </c>
      <c r="E535" t="inlineStr">
        <is>
          <t>윤보람</t>
        </is>
      </c>
      <c r="F535" t="inlineStr">
        <is>
          <t>전기차 완속충전기 14시간 이상 점유시 과태료 10만원</t>
        </is>
      </c>
      <c r="G535" s="2">
        <f>HYPERLINK("http://yna.kr/AKR20210426144400003?did=1195m", "Go to Website")</f>
        <v/>
      </c>
      <c r="H535" t="inlineStr"/>
      <c r="I535" t="inlineStr">
        <is>
          <t>100</t>
        </is>
      </c>
      <c r="J535" s="3" t="n">
        <v>0.957</v>
      </c>
      <c r="K535" t="inlineStr">
        <is>
          <t>분류 제외, 기타</t>
        </is>
      </c>
      <c r="L535" t="inlineStr"/>
      <c r="M535" t="inlineStr"/>
      <c r="N535" t="inlineStr"/>
    </row>
    <row r="536">
      <c r="A536" s="1" t="inlineStr">
        <is>
          <t>2021-04-27</t>
        </is>
      </c>
      <c r="B536" t="inlineStr">
        <is>
          <t>news</t>
        </is>
      </c>
      <c r="C536" t="inlineStr">
        <is>
          <t>economy</t>
        </is>
      </c>
      <c r="D536" t="inlineStr">
        <is>
          <t>뉴시스</t>
        </is>
      </c>
      <c r="E536" t="inlineStr">
        <is>
          <t>이승재</t>
        </is>
      </c>
      <c r="F536" t="inlineStr">
        <is>
          <t>공공기관 전기·수소차만 사야…'친환경차법' 시행령 개정</t>
        </is>
      </c>
      <c r="G536" s="2">
        <f>HYPERLINK("http://www.newsis.com/view/?id=NISX20210427_0001420909&amp;cID=10401&amp;pID=10400", "Go to Website")</f>
        <v/>
      </c>
      <c r="H536" t="inlineStr"/>
      <c r="I536" t="inlineStr">
        <is>
          <t>100</t>
        </is>
      </c>
      <c r="J536" s="3" t="n">
        <v>1</v>
      </c>
      <c r="K536" t="inlineStr">
        <is>
          <t>분류 제외, 기타</t>
        </is>
      </c>
      <c r="L536" t="inlineStr"/>
      <c r="M536" t="inlineStr"/>
      <c r="N536" t="inlineStr"/>
    </row>
    <row r="537">
      <c r="A537" s="1" t="inlineStr">
        <is>
          <t>2021-04-27</t>
        </is>
      </c>
      <c r="B537" t="inlineStr">
        <is>
          <t>news</t>
        </is>
      </c>
      <c r="C537" t="inlineStr">
        <is>
          <t>economy</t>
        </is>
      </c>
      <c r="D537" t="inlineStr">
        <is>
          <t>뉴시스</t>
        </is>
      </c>
      <c r="E537" t="inlineStr">
        <is>
          <t>고은결</t>
        </is>
      </c>
      <c r="F537" t="inlineStr">
        <is>
          <t>에너지 전환에 천연가스 수요 껑충…2034년 4800만t</t>
        </is>
      </c>
      <c r="G537" s="2">
        <f>HYPERLINK("http://www.newsis.com/view/?id=NISX20210427_0001420767&amp;cID=10401&amp;pID=10400", "Go to Website")</f>
        <v/>
      </c>
      <c r="H537" t="inlineStr"/>
      <c r="I537" t="inlineStr">
        <is>
          <t>B05</t>
        </is>
      </c>
      <c r="J537" s="3" t="n">
        <v>0.998</v>
      </c>
      <c r="K537" t="inlineStr">
        <is>
          <t>석탄, 원유 및 천연가스 광업</t>
        </is>
      </c>
      <c r="L537" t="inlineStr"/>
      <c r="M537" t="inlineStr"/>
      <c r="N537" t="inlineStr"/>
    </row>
    <row r="538">
      <c r="A538" s="1" t="inlineStr">
        <is>
          <t>2021-04-27</t>
        </is>
      </c>
      <c r="B538" t="inlineStr">
        <is>
          <t>news</t>
        </is>
      </c>
      <c r="C538" t="inlineStr">
        <is>
          <t>economy</t>
        </is>
      </c>
      <c r="D538" t="inlineStr">
        <is>
          <t>디지털타임스</t>
        </is>
      </c>
      <c r="E538" t="inlineStr"/>
      <c r="F538" t="inlineStr">
        <is>
          <t>전기차 완속충전기구역에 14시간 이상 주차시 과태료 10만원</t>
        </is>
      </c>
      <c r="G538" s="2">
        <f>HYPERLINK("http://www.dt.co.kr/contents.html?article_no=2021042702109958063001", "Go to Website")</f>
        <v/>
      </c>
      <c r="H538" t="inlineStr"/>
      <c r="I538" t="inlineStr">
        <is>
          <t>100</t>
        </is>
      </c>
      <c r="J538" s="3" t="n">
        <v>0.921</v>
      </c>
      <c r="K538" t="inlineStr">
        <is>
          <t>분류 제외, 기타</t>
        </is>
      </c>
      <c r="L538" t="inlineStr"/>
      <c r="M538" t="inlineStr"/>
      <c r="N538" t="inlineStr"/>
    </row>
    <row r="539">
      <c r="A539" s="1" t="inlineStr">
        <is>
          <t>2021-04-27</t>
        </is>
      </c>
      <c r="B539" t="inlineStr">
        <is>
          <t>news</t>
        </is>
      </c>
      <c r="C539" t="inlineStr">
        <is>
          <t>economy</t>
        </is>
      </c>
      <c r="D539" t="inlineStr">
        <is>
          <t>데일리안</t>
        </is>
      </c>
      <c r="E539" t="inlineStr">
        <is>
          <t>배군득</t>
        </is>
      </c>
      <c r="F539" t="inlineStr">
        <is>
          <t>천연가스 2034년 5253만t…당진에 5번째 저장고 건설</t>
        </is>
      </c>
      <c r="G539" s="2">
        <f>HYPERLINK("https://www.dailian.co.kr/news/view/985679/", "Go to Website")</f>
        <v/>
      </c>
      <c r="H539" t="inlineStr"/>
      <c r="I539" t="inlineStr">
        <is>
          <t>100</t>
        </is>
      </c>
      <c r="J539" s="3" t="n">
        <v>0.991</v>
      </c>
      <c r="K539" t="inlineStr">
        <is>
          <t>분류 제외, 기타</t>
        </is>
      </c>
      <c r="L539" t="inlineStr"/>
      <c r="M539" t="inlineStr"/>
      <c r="N539" t="inlineStr"/>
    </row>
    <row r="540">
      <c r="A540" s="1" t="inlineStr">
        <is>
          <t>2021-04-27</t>
        </is>
      </c>
      <c r="B540" t="inlineStr">
        <is>
          <t>news</t>
        </is>
      </c>
      <c r="C540" t="inlineStr">
        <is>
          <t>economy</t>
        </is>
      </c>
      <c r="D540" t="inlineStr">
        <is>
          <t>데일리안</t>
        </is>
      </c>
      <c r="E540" t="inlineStr">
        <is>
          <t>배군득</t>
        </is>
      </c>
      <c r="F540" t="inlineStr">
        <is>
          <t>산업부 “공공기관 친환경차 구매 100%로 확대”</t>
        </is>
      </c>
      <c r="G540" s="2">
        <f>HYPERLINK("https://www.dailian.co.kr/news/view/985727/", "Go to Website")</f>
        <v/>
      </c>
      <c r="H540" t="inlineStr"/>
      <c r="I540" t="inlineStr">
        <is>
          <t>100</t>
        </is>
      </c>
      <c r="J540" s="3" t="n">
        <v>0.895</v>
      </c>
      <c r="K540" t="inlineStr">
        <is>
          <t>분류 제외, 기타</t>
        </is>
      </c>
      <c r="L540" t="inlineStr"/>
      <c r="M540" t="inlineStr"/>
      <c r="N540" t="inlineStr"/>
    </row>
    <row r="541">
      <c r="A541" s="1" t="inlineStr">
        <is>
          <t>2021-04-27</t>
        </is>
      </c>
      <c r="B541" t="inlineStr">
        <is>
          <t>news</t>
        </is>
      </c>
      <c r="C541" t="inlineStr">
        <is>
          <t>economy</t>
        </is>
      </c>
      <c r="D541" t="inlineStr">
        <is>
          <t>데일리안</t>
        </is>
      </c>
      <c r="E541" t="inlineStr">
        <is>
          <t>이호연</t>
        </is>
      </c>
      <c r="F541" t="inlineStr">
        <is>
          <t>우리은행, ‘무공해 친환경 전기차’ 도입 확대</t>
        </is>
      </c>
      <c r="G541" s="2">
        <f>HYPERLINK("https://www.dailian.co.kr/news/view/985735/", "Go to Website")</f>
        <v/>
      </c>
      <c r="H541" t="inlineStr"/>
      <c r="I541" t="inlineStr">
        <is>
          <t>K64</t>
        </is>
      </c>
      <c r="J541" s="3" t="n">
        <v>0.977</v>
      </c>
      <c r="K541" t="inlineStr">
        <is>
          <t>금융업</t>
        </is>
      </c>
      <c r="L541" t="inlineStr">
        <is>
          <t>1</t>
        </is>
      </c>
      <c r="M541" s="3" t="n">
        <v>0.762</v>
      </c>
      <c r="N541" t="inlineStr">
        <is>
          <t>긍정</t>
        </is>
      </c>
    </row>
    <row r="542">
      <c r="A542" s="1" t="inlineStr">
        <is>
          <t>2021-04-27</t>
        </is>
      </c>
      <c r="B542" t="inlineStr">
        <is>
          <t>news</t>
        </is>
      </c>
      <c r="C542" t="inlineStr">
        <is>
          <t>tech</t>
        </is>
      </c>
      <c r="D542" t="inlineStr">
        <is>
          <t>ZDNet Korea</t>
        </is>
      </c>
      <c r="E542" t="inlineStr">
        <is>
          <t>손예술</t>
        </is>
      </c>
      <c r="F542" t="inlineStr">
        <is>
          <t>우리은행, 2030년까지 업무차량 전기차로 전환</t>
        </is>
      </c>
      <c r="G542" s="2">
        <f>HYPERLINK("https://zdnet.co.kr/view/?no=20210427103837", "Go to Website")</f>
        <v/>
      </c>
      <c r="H542" t="inlineStr"/>
      <c r="I542" t="inlineStr"/>
      <c r="J542" t="inlineStr"/>
      <c r="K542" t="inlineStr"/>
      <c r="L542" t="inlineStr"/>
      <c r="M542" t="inlineStr"/>
      <c r="N542" t="inlineStr"/>
    </row>
    <row r="543">
      <c r="A543" s="1" t="inlineStr">
        <is>
          <t>2021-04-27</t>
        </is>
      </c>
      <c r="B543" t="inlineStr">
        <is>
          <t>news</t>
        </is>
      </c>
      <c r="C543" t="inlineStr">
        <is>
          <t>economy</t>
        </is>
      </c>
      <c r="D543" t="inlineStr">
        <is>
          <t>더팩트</t>
        </is>
      </c>
      <c r="E543" t="inlineStr"/>
      <c r="F543" t="inlineStr">
        <is>
          <t>우리銀, '무공해 친환경 전기차' 도입 확대…"ESG 경영 실천"</t>
        </is>
      </c>
      <c r="G543" s="2">
        <f>HYPERLINK("http://news.tf.co.kr/read/economy/1857086.htm", "Go to Website")</f>
        <v/>
      </c>
      <c r="H543" t="inlineStr"/>
      <c r="I543" t="inlineStr">
        <is>
          <t>C14</t>
        </is>
      </c>
      <c r="J543" s="3" t="n">
        <v>0.972</v>
      </c>
      <c r="K543" t="inlineStr">
        <is>
          <t>의복, 의복 액세서리 및 모피제품 제조업</t>
        </is>
      </c>
      <c r="L543" t="inlineStr">
        <is>
          <t>1</t>
        </is>
      </c>
      <c r="M543" s="3" t="n">
        <v>0.869</v>
      </c>
      <c r="N543" t="inlineStr">
        <is>
          <t>긍정</t>
        </is>
      </c>
    </row>
    <row r="544">
      <c r="A544" s="1" t="inlineStr">
        <is>
          <t>2021-04-27</t>
        </is>
      </c>
      <c r="B544" t="inlineStr">
        <is>
          <t>news</t>
        </is>
      </c>
      <c r="C544" t="inlineStr">
        <is>
          <t>economy</t>
        </is>
      </c>
      <c r="D544" t="inlineStr">
        <is>
          <t>서울경제</t>
        </is>
      </c>
      <c r="E544" t="inlineStr">
        <is>
          <t>김지영</t>
        </is>
      </c>
      <c r="F544" t="inlineStr">
        <is>
          <t>우리은행, 2030년까지 '친환경 전기차' 전환</t>
        </is>
      </c>
      <c r="G544" s="2">
        <f>HYPERLINK("https://www.sedaily.com/NewsView/22L8WD41XH", "Go to Website")</f>
        <v/>
      </c>
      <c r="H544" t="inlineStr"/>
      <c r="I544" t="inlineStr">
        <is>
          <t>K64</t>
        </is>
      </c>
      <c r="J544" s="3" t="n">
        <v>0.969</v>
      </c>
      <c r="K544" t="inlineStr">
        <is>
          <t>금융업</t>
        </is>
      </c>
      <c r="L544" t="inlineStr">
        <is>
          <t>0</t>
        </is>
      </c>
      <c r="M544" s="3" t="n">
        <v>0.887</v>
      </c>
      <c r="N544" t="inlineStr">
        <is>
          <t>중립</t>
        </is>
      </c>
    </row>
    <row r="545">
      <c r="A545" s="1" t="inlineStr">
        <is>
          <t>2021-04-27</t>
        </is>
      </c>
      <c r="B545" t="inlineStr">
        <is>
          <t>news</t>
        </is>
      </c>
      <c r="C545" t="inlineStr">
        <is>
          <t>economy</t>
        </is>
      </c>
      <c r="D545" t="inlineStr">
        <is>
          <t>연합뉴스</t>
        </is>
      </c>
      <c r="E545" t="inlineStr">
        <is>
          <t>김연정</t>
        </is>
      </c>
      <c r="F545" t="inlineStr">
        <is>
          <t>우리은행 "2030년까지 모든 업무용차량 친환경차로 전환"</t>
        </is>
      </c>
      <c r="G545" s="2">
        <f>HYPERLINK("http://yna.kr/AKR20210427053700002?did=1195m", "Go to Website")</f>
        <v/>
      </c>
      <c r="H545" t="inlineStr"/>
      <c r="I545" t="inlineStr">
        <is>
          <t>K64</t>
        </is>
      </c>
      <c r="J545" s="3" t="n">
        <v>0.968</v>
      </c>
      <c r="K545" t="inlineStr">
        <is>
          <t>금융업</t>
        </is>
      </c>
      <c r="L545" t="inlineStr">
        <is>
          <t>0</t>
        </is>
      </c>
      <c r="M545" s="3" t="n">
        <v>0.971</v>
      </c>
      <c r="N545" t="inlineStr">
        <is>
          <t>중립</t>
        </is>
      </c>
    </row>
    <row r="546">
      <c r="A546" s="1" t="inlineStr">
        <is>
          <t>2021-04-27</t>
        </is>
      </c>
      <c r="B546" t="inlineStr">
        <is>
          <t>news</t>
        </is>
      </c>
      <c r="C546" t="inlineStr">
        <is>
          <t>economy</t>
        </is>
      </c>
      <c r="D546" t="inlineStr">
        <is>
          <t>한국경제</t>
        </is>
      </c>
      <c r="E546" t="inlineStr">
        <is>
          <t>김대훈</t>
        </is>
      </c>
      <c r="F546" t="inlineStr">
        <is>
          <t>우리은행, 2030년까지 업무용 차량 100% 친환경으로</t>
        </is>
      </c>
      <c r="G546" s="2">
        <f>HYPERLINK("https://www.hankyung.com/economy/article/202104279968i", "Go to Website")</f>
        <v/>
      </c>
      <c r="H546" t="inlineStr"/>
      <c r="I546" t="inlineStr">
        <is>
          <t>K64</t>
        </is>
      </c>
      <c r="J546" s="3" t="n">
        <v>0.999</v>
      </c>
      <c r="K546" t="inlineStr">
        <is>
          <t>금융업</t>
        </is>
      </c>
      <c r="L546" t="inlineStr">
        <is>
          <t>0</t>
        </is>
      </c>
      <c r="M546" s="3" t="n">
        <v>0.727</v>
      </c>
      <c r="N546" t="inlineStr">
        <is>
          <t>중립</t>
        </is>
      </c>
    </row>
    <row r="547">
      <c r="A547" s="1" t="inlineStr">
        <is>
          <t>2021-04-27</t>
        </is>
      </c>
      <c r="B547" t="inlineStr">
        <is>
          <t>news</t>
        </is>
      </c>
      <c r="C547" t="inlineStr">
        <is>
          <t>economy</t>
        </is>
      </c>
      <c r="D547" t="inlineStr">
        <is>
          <t>KBS</t>
        </is>
      </c>
      <c r="E547" t="inlineStr"/>
      <c r="F547" t="inlineStr">
        <is>
          <t>당진에 수소차 전용 수소출하센터 준공</t>
        </is>
      </c>
      <c r="G547" s="2">
        <f>HYPERLINK("http://news.kbs.co.kr/news/view.do?ncd=5171977&amp;ref=A", "Go to Website")</f>
        <v/>
      </c>
      <c r="H547" t="inlineStr"/>
      <c r="I547" t="inlineStr">
        <is>
          <t>C24</t>
        </is>
      </c>
      <c r="J547" s="3" t="n">
        <v>0.855</v>
      </c>
      <c r="K547" t="inlineStr">
        <is>
          <t>1차 금속 제조업</t>
        </is>
      </c>
      <c r="L547" t="inlineStr">
        <is>
          <t>1</t>
        </is>
      </c>
      <c r="M547" s="3" t="n">
        <v>0.987</v>
      </c>
      <c r="N547" t="inlineStr">
        <is>
          <t>긍정</t>
        </is>
      </c>
    </row>
    <row r="548">
      <c r="A548" s="1" t="inlineStr">
        <is>
          <t>2021-04-27</t>
        </is>
      </c>
      <c r="B548" t="inlineStr">
        <is>
          <t>news</t>
        </is>
      </c>
      <c r="C548" t="inlineStr">
        <is>
          <t>economy</t>
        </is>
      </c>
      <c r="D548" t="inlineStr">
        <is>
          <t>머니S</t>
        </is>
      </c>
      <c r="E548" t="inlineStr">
        <is>
          <t>이남의</t>
        </is>
      </c>
      <c r="F548" t="inlineStr">
        <is>
          <t>우리은행, ESG경영 실천… '무공해 친환경 전기차' 도입 확대</t>
        </is>
      </c>
      <c r="G548" s="2">
        <f>HYPERLINK("http://moneys.mt.co.kr/news/mwView.php?no=2021042709178025756", "Go to Website")</f>
        <v/>
      </c>
      <c r="H548" t="inlineStr"/>
      <c r="I548" t="inlineStr">
        <is>
          <t>K64</t>
        </is>
      </c>
      <c r="J548" s="3" t="n">
        <v>0.992</v>
      </c>
      <c r="K548" t="inlineStr">
        <is>
          <t>금융업</t>
        </is>
      </c>
      <c r="L548" t="inlineStr">
        <is>
          <t>1</t>
        </is>
      </c>
      <c r="M548" s="3" t="n">
        <v>0.823</v>
      </c>
      <c r="N548" t="inlineStr">
        <is>
          <t>긍정</t>
        </is>
      </c>
    </row>
    <row r="549">
      <c r="A549" s="1" t="inlineStr">
        <is>
          <t>2021-04-27</t>
        </is>
      </c>
      <c r="B549" t="inlineStr">
        <is>
          <t>news</t>
        </is>
      </c>
      <c r="C549" t="inlineStr">
        <is>
          <t>economy</t>
        </is>
      </c>
      <c r="D549" t="inlineStr">
        <is>
          <t>조세일보</t>
        </is>
      </c>
      <c r="E549" t="inlineStr"/>
      <c r="F549" t="inlineStr">
        <is>
          <t>우리은행, 무공해 친환경 전기차 도입 확대</t>
        </is>
      </c>
      <c r="G549" s="2">
        <f>HYPERLINK("http://www.joseilbo.com/news/news_read.php?uid=422369&amp;class=51", "Go to Website")</f>
        <v/>
      </c>
      <c r="H549" t="inlineStr"/>
      <c r="I549" t="inlineStr">
        <is>
          <t>K64</t>
        </is>
      </c>
      <c r="J549" s="3" t="n">
        <v>0.981</v>
      </c>
      <c r="K549" t="inlineStr">
        <is>
          <t>금융업</t>
        </is>
      </c>
      <c r="L549" t="inlineStr">
        <is>
          <t>1</t>
        </is>
      </c>
      <c r="M549" s="3" t="n">
        <v>0.748</v>
      </c>
      <c r="N549" t="inlineStr">
        <is>
          <t>긍정</t>
        </is>
      </c>
    </row>
    <row r="550">
      <c r="A550" s="1" t="inlineStr">
        <is>
          <t>2021-04-27</t>
        </is>
      </c>
      <c r="B550" t="inlineStr">
        <is>
          <t>news</t>
        </is>
      </c>
      <c r="C550" t="inlineStr">
        <is>
          <t>economy</t>
        </is>
      </c>
      <c r="D550" t="inlineStr">
        <is>
          <t>스포츠조선</t>
        </is>
      </c>
      <c r="E550" t="inlineStr">
        <is>
          <t>김소형</t>
        </is>
      </c>
      <c r="F550" t="inlineStr">
        <is>
          <t>우리은행, '친환경 전기차' 도입 확대…2030년까지 전환</t>
        </is>
      </c>
      <c r="G550" s="2">
        <f>HYPERLINK("http://sports.chosun.com/news/ntype.htm?id=202104280100224990014755&amp;servicedate=20210427", "Go to Website")</f>
        <v/>
      </c>
      <c r="H550" t="inlineStr"/>
      <c r="I550" t="inlineStr">
        <is>
          <t>K64</t>
        </is>
      </c>
      <c r="J550" s="3" t="n">
        <v>0.974</v>
      </c>
      <c r="K550" t="inlineStr">
        <is>
          <t>금융업</t>
        </is>
      </c>
      <c r="L550" t="inlineStr">
        <is>
          <t>1</t>
        </is>
      </c>
      <c r="M550" s="3" t="n">
        <v>0.6899999999999999</v>
      </c>
      <c r="N550" t="inlineStr">
        <is>
          <t>긍정</t>
        </is>
      </c>
    </row>
    <row r="551">
      <c r="A551" s="1" t="inlineStr">
        <is>
          <t>2021-04-27</t>
        </is>
      </c>
      <c r="B551" t="inlineStr">
        <is>
          <t>news</t>
        </is>
      </c>
      <c r="C551" t="inlineStr">
        <is>
          <t>economy</t>
        </is>
      </c>
      <c r="D551" t="inlineStr">
        <is>
          <t>아시아경제</t>
        </is>
      </c>
      <c r="E551" t="inlineStr">
        <is>
          <t>이광호</t>
        </is>
      </c>
      <c r="F551" t="inlineStr">
        <is>
          <t>우리銀, '무공해 친환경 전기차' 도입 확대</t>
        </is>
      </c>
      <c r="G551" s="2">
        <f>HYPERLINK("https://view.asiae.co.kr/article/2021042709102878972", "Go to Website")</f>
        <v/>
      </c>
      <c r="H551" t="inlineStr"/>
      <c r="I551" t="inlineStr">
        <is>
          <t>K64</t>
        </is>
      </c>
      <c r="J551" s="3" t="n">
        <v>0.993</v>
      </c>
      <c r="K551" t="inlineStr">
        <is>
          <t>금융업</t>
        </is>
      </c>
      <c r="L551" t="inlineStr">
        <is>
          <t>1</t>
        </is>
      </c>
      <c r="M551" s="3" t="n">
        <v>0.774</v>
      </c>
      <c r="N551" t="inlineStr">
        <is>
          <t>긍정</t>
        </is>
      </c>
    </row>
    <row r="552">
      <c r="A552" s="1" t="inlineStr">
        <is>
          <t>2021-04-27</t>
        </is>
      </c>
      <c r="B552" t="inlineStr">
        <is>
          <t>news</t>
        </is>
      </c>
      <c r="C552" t="inlineStr">
        <is>
          <t>economy</t>
        </is>
      </c>
      <c r="D552" t="inlineStr">
        <is>
          <t>뉴스1</t>
        </is>
      </c>
      <c r="E552" t="inlineStr"/>
      <c r="F552" t="inlineStr">
        <is>
          <t>'하이넷 당신 수소출하센터 준공식'</t>
        </is>
      </c>
      <c r="G552" s="2">
        <f>HYPERLINK("https://www.news1.kr/photos/view/?4740406", "Go to Website")</f>
        <v/>
      </c>
      <c r="H552" t="inlineStr"/>
      <c r="I552" t="inlineStr">
        <is>
          <t>100</t>
        </is>
      </c>
      <c r="J552" s="3" t="n">
        <v>0.764</v>
      </c>
      <c r="K552" t="inlineStr">
        <is>
          <t>분류 제외, 기타</t>
        </is>
      </c>
      <c r="L552" t="inlineStr">
        <is>
          <t>0</t>
        </is>
      </c>
      <c r="M552" s="3" t="n">
        <v>0.735</v>
      </c>
      <c r="N552" t="inlineStr">
        <is>
          <t>중립</t>
        </is>
      </c>
    </row>
    <row r="553">
      <c r="A553" s="1" t="inlineStr">
        <is>
          <t>2021-04-27</t>
        </is>
      </c>
      <c r="B553" t="inlineStr">
        <is>
          <t>news</t>
        </is>
      </c>
      <c r="C553" t="inlineStr">
        <is>
          <t>economy</t>
        </is>
      </c>
      <c r="D553" t="inlineStr">
        <is>
          <t>뉴스1</t>
        </is>
      </c>
      <c r="E553" t="inlineStr"/>
      <c r="F553" t="inlineStr">
        <is>
          <t>당진 부생수소 출하센터 준공식</t>
        </is>
      </c>
      <c r="G553" s="2">
        <f>HYPERLINK("https://www.news1.kr/photos/view/?4740403", "Go to Website")</f>
        <v/>
      </c>
      <c r="H553" t="inlineStr"/>
      <c r="I553" t="inlineStr">
        <is>
          <t>C30</t>
        </is>
      </c>
      <c r="J553" s="3" t="n">
        <v>0.709</v>
      </c>
      <c r="K553" t="inlineStr">
        <is>
          <t>자동차 및 트레일러 제조업</t>
        </is>
      </c>
      <c r="L553" t="inlineStr">
        <is>
          <t>1</t>
        </is>
      </c>
      <c r="M553" s="3" t="n">
        <v>0.621</v>
      </c>
      <c r="N553" t="inlineStr">
        <is>
          <t>긍정</t>
        </is>
      </c>
    </row>
    <row r="554">
      <c r="A554" s="1" t="inlineStr">
        <is>
          <t>2021-04-27</t>
        </is>
      </c>
      <c r="B554" t="inlineStr">
        <is>
          <t>news</t>
        </is>
      </c>
      <c r="C554" t="inlineStr">
        <is>
          <t>economy</t>
        </is>
      </c>
      <c r="D554" t="inlineStr">
        <is>
          <t>뉴스1</t>
        </is>
      </c>
      <c r="E554" t="inlineStr"/>
      <c r="F554" t="inlineStr">
        <is>
          <t>하이넷 당진 수소출하센터 준공식</t>
        </is>
      </c>
      <c r="G554" s="2">
        <f>HYPERLINK("https://www.news1.kr/photos/view/?4740408", "Go to Website")</f>
        <v/>
      </c>
      <c r="H554" t="inlineStr"/>
      <c r="I554" t="inlineStr">
        <is>
          <t>H52</t>
        </is>
      </c>
      <c r="J554" s="3" t="n">
        <v>0.449</v>
      </c>
      <c r="K554" t="inlineStr">
        <is>
          <t>창고 및 운송관련 서비스업</t>
        </is>
      </c>
      <c r="L554" t="inlineStr">
        <is>
          <t>1</t>
        </is>
      </c>
      <c r="M554" s="3" t="n">
        <v>0.792</v>
      </c>
      <c r="N554" t="inlineStr">
        <is>
          <t>긍정</t>
        </is>
      </c>
    </row>
    <row r="555">
      <c r="A555" s="1" t="inlineStr">
        <is>
          <t>2021-04-27</t>
        </is>
      </c>
      <c r="B555" t="inlineStr">
        <is>
          <t>news</t>
        </is>
      </c>
      <c r="C555" t="inlineStr">
        <is>
          <t>economy</t>
        </is>
      </c>
      <c r="D555" t="inlineStr">
        <is>
          <t>뉴스1</t>
        </is>
      </c>
      <c r="E555" t="inlineStr"/>
      <c r="F555" t="inlineStr">
        <is>
          <t>당진 부생수소 출하센터 준공</t>
        </is>
      </c>
      <c r="G555" s="2">
        <f>HYPERLINK("https://www.news1.kr/photos/view/?4740407", "Go to Website")</f>
        <v/>
      </c>
      <c r="H555" t="inlineStr"/>
      <c r="I555" t="inlineStr">
        <is>
          <t>C30</t>
        </is>
      </c>
      <c r="J555" s="3" t="n">
        <v>0.679</v>
      </c>
      <c r="K555" t="inlineStr">
        <is>
          <t>자동차 및 트레일러 제조업</t>
        </is>
      </c>
      <c r="L555" t="inlineStr">
        <is>
          <t>1</t>
        </is>
      </c>
      <c r="M555" s="3" t="n">
        <v>0.976</v>
      </c>
      <c r="N555" t="inlineStr">
        <is>
          <t>긍정</t>
        </is>
      </c>
    </row>
    <row r="556">
      <c r="A556" s="1" t="inlineStr">
        <is>
          <t>2021-04-27</t>
        </is>
      </c>
      <c r="B556" t="inlineStr">
        <is>
          <t>news</t>
        </is>
      </c>
      <c r="C556" t="inlineStr">
        <is>
          <t>economy</t>
        </is>
      </c>
      <c r="D556" t="inlineStr">
        <is>
          <t>뉴스1</t>
        </is>
      </c>
      <c r="E556" t="inlineStr">
        <is>
          <t>송상현</t>
        </is>
      </c>
      <c r="F556" t="inlineStr">
        <is>
          <t>우리은행, 2030년까지 모든 업무용 차량 친환경으로 전환</t>
        </is>
      </c>
      <c r="G556" s="2">
        <f>HYPERLINK("https://www.news1.kr/articles/?4287568", "Go to Website")</f>
        <v/>
      </c>
      <c r="H556" t="inlineStr"/>
      <c r="I556" t="inlineStr">
        <is>
          <t>K64</t>
        </is>
      </c>
      <c r="J556" s="3" t="n">
        <v>0.998</v>
      </c>
      <c r="K556" t="inlineStr">
        <is>
          <t>금융업</t>
        </is>
      </c>
      <c r="L556" t="inlineStr">
        <is>
          <t>0</t>
        </is>
      </c>
      <c r="M556" s="3" t="n">
        <v>0.914</v>
      </c>
      <c r="N556" t="inlineStr">
        <is>
          <t>중립</t>
        </is>
      </c>
    </row>
    <row r="557">
      <c r="A557" s="1" t="inlineStr">
        <is>
          <t>2021-04-27</t>
        </is>
      </c>
      <c r="B557" t="inlineStr">
        <is>
          <t>news</t>
        </is>
      </c>
      <c r="C557" t="inlineStr">
        <is>
          <t>economy</t>
        </is>
      </c>
      <c r="D557" t="inlineStr">
        <is>
          <t>머니S</t>
        </is>
      </c>
      <c r="E557" t="inlineStr">
        <is>
          <t>박슬기</t>
        </is>
      </c>
      <c r="F557" t="inlineStr">
        <is>
          <t>[2021 ESG어워드] 우리카드, ESG 경영 의지 ‘타임캡슐’에 담아 결의</t>
        </is>
      </c>
      <c r="G557" s="2">
        <f>HYPERLINK("http://moneys.mt.co.kr/news/mwView.php?no=2021042314288041361", "Go to Website")</f>
        <v/>
      </c>
      <c r="H557" t="inlineStr"/>
      <c r="I557" t="inlineStr">
        <is>
          <t>K65</t>
        </is>
      </c>
      <c r="J557" s="3" t="n">
        <v>0.997</v>
      </c>
      <c r="K557" t="inlineStr">
        <is>
          <t>보험 및 연금업</t>
        </is>
      </c>
      <c r="L557" t="inlineStr"/>
      <c r="M557" t="inlineStr"/>
      <c r="N557" t="inlineStr"/>
    </row>
    <row r="558">
      <c r="A558" s="1" t="inlineStr">
        <is>
          <t>2021-04-27</t>
        </is>
      </c>
      <c r="B558" t="inlineStr">
        <is>
          <t>news</t>
        </is>
      </c>
      <c r="C558" t="inlineStr">
        <is>
          <t>economy</t>
        </is>
      </c>
      <c r="D558" t="inlineStr">
        <is>
          <t>머니S</t>
        </is>
      </c>
      <c r="E558" t="inlineStr">
        <is>
          <t>박슬기</t>
        </is>
      </c>
      <c r="F558" t="inlineStr">
        <is>
          <t>[2021 ESG어워드] 신한카드, ESG팀 최초 신설… 차별화 꾀한다</t>
        </is>
      </c>
      <c r="G558" s="2">
        <f>HYPERLINK("http://moneys.mt.co.kr/news/mwView.php?no=2021042314268098385", "Go to Website")</f>
        <v/>
      </c>
      <c r="H558" t="inlineStr"/>
      <c r="I558" t="inlineStr">
        <is>
          <t>K65</t>
        </is>
      </c>
      <c r="J558" s="3" t="n">
        <v>0.997</v>
      </c>
      <c r="K558" t="inlineStr">
        <is>
          <t>보험 및 연금업</t>
        </is>
      </c>
      <c r="L558" t="inlineStr"/>
      <c r="M558" t="inlineStr"/>
      <c r="N558" t="inlineStr"/>
    </row>
    <row r="559">
      <c r="A559" s="1" t="inlineStr">
        <is>
          <t>2021-04-27</t>
        </is>
      </c>
      <c r="B559" t="inlineStr">
        <is>
          <t>news</t>
        </is>
      </c>
      <c r="C559" t="inlineStr">
        <is>
          <t>economy</t>
        </is>
      </c>
      <c r="D559" t="inlineStr">
        <is>
          <t>세계일보</t>
        </is>
      </c>
      <c r="E559" t="inlineStr">
        <is>
          <t>남정훈</t>
        </is>
      </c>
      <c r="F559" t="inlineStr">
        <is>
          <t>현대자동차X현대카드, ‘Hyundai Mobility 카드’ 출시</t>
        </is>
      </c>
      <c r="G559" s="2">
        <f>HYPERLINK("http://www.segye.com/content/html/2021/04/26/20210426505995.html", "Go to Website")</f>
        <v/>
      </c>
      <c r="H559" t="inlineStr"/>
      <c r="I559" t="inlineStr">
        <is>
          <t>100</t>
        </is>
      </c>
      <c r="J559" s="3" t="n">
        <v>0.712</v>
      </c>
      <c r="K559" t="inlineStr">
        <is>
          <t>분류 제외, 기타</t>
        </is>
      </c>
      <c r="L559" t="inlineStr">
        <is>
          <t>1</t>
        </is>
      </c>
      <c r="M559" s="3" t="n">
        <v>0.997</v>
      </c>
      <c r="N559" t="inlineStr">
        <is>
          <t>긍정</t>
        </is>
      </c>
    </row>
    <row r="560">
      <c r="A560" s="1" t="inlineStr">
        <is>
          <t>2021-04-26</t>
        </is>
      </c>
      <c r="B560" t="inlineStr">
        <is>
          <t>news</t>
        </is>
      </c>
      <c r="C560" t="inlineStr">
        <is>
          <t>economy</t>
        </is>
      </c>
      <c r="D560" t="inlineStr">
        <is>
          <t>부산일보</t>
        </is>
      </c>
      <c r="E560" t="inlineStr">
        <is>
          <t>송현수</t>
        </is>
      </c>
      <c r="F560" t="inlineStr">
        <is>
          <t>20% 이상 저렴한 '수송용 부생수소' 공급 시작</t>
        </is>
      </c>
      <c r="G560" s="2">
        <f>HYPERLINK("http://www.busan.com/view/busan/view.php?code=2021042613100856748", "Go to Website")</f>
        <v/>
      </c>
      <c r="H560" t="inlineStr"/>
      <c r="I560" t="inlineStr">
        <is>
          <t>100</t>
        </is>
      </c>
      <c r="J560" s="3" t="n">
        <v>0.97</v>
      </c>
      <c r="K560" t="inlineStr">
        <is>
          <t>분류 제외, 기타</t>
        </is>
      </c>
      <c r="L560" t="inlineStr"/>
      <c r="M560" t="inlineStr"/>
      <c r="N560" t="inlineStr"/>
    </row>
    <row r="561">
      <c r="A561" s="1" t="inlineStr">
        <is>
          <t>2021-04-26</t>
        </is>
      </c>
      <c r="B561" t="inlineStr">
        <is>
          <t>news</t>
        </is>
      </c>
      <c r="C561" t="inlineStr">
        <is>
          <t>tech</t>
        </is>
      </c>
      <c r="D561" t="inlineStr">
        <is>
          <t>디지털데일리</t>
        </is>
      </c>
      <c r="E561" t="inlineStr">
        <is>
          <t>김도현</t>
        </is>
      </c>
      <c r="F561" t="inlineStr">
        <is>
          <t>예스파워테크닉스, 중화권 고객사에 SiC 전력반도체 공급</t>
        </is>
      </c>
      <c r="G561" s="2">
        <f>HYPERLINK("http://www.ddaily.co.kr/news/article.html?no=213051", "Go to Website")</f>
        <v/>
      </c>
      <c r="H561" t="inlineStr"/>
      <c r="I561" t="inlineStr"/>
      <c r="J561" t="inlineStr"/>
      <c r="K561" t="inlineStr"/>
      <c r="L561" t="inlineStr"/>
      <c r="M561" t="inlineStr"/>
      <c r="N561" t="inlineStr"/>
    </row>
    <row r="562">
      <c r="A562" s="1" t="inlineStr">
        <is>
          <t>2021-04-26</t>
        </is>
      </c>
      <c r="B562" t="inlineStr">
        <is>
          <t>news</t>
        </is>
      </c>
      <c r="C562" t="inlineStr">
        <is>
          <t>economy</t>
        </is>
      </c>
      <c r="D562" t="inlineStr">
        <is>
          <t>머니투데이</t>
        </is>
      </c>
      <c r="E562" t="inlineStr">
        <is>
          <t>김세관</t>
        </is>
      </c>
      <c r="F562" t="inlineStr">
        <is>
          <t>현대카드, '블루멤버스' 집중한 현대車 '모빌리티 카드' 출시</t>
        </is>
      </c>
      <c r="G562" s="2">
        <f>HYPERLINK("http://news.mt.co.kr/mtview.php?no=2021042615204695109", "Go to Website")</f>
        <v/>
      </c>
      <c r="H562" t="inlineStr"/>
      <c r="I562" t="inlineStr">
        <is>
          <t>C30</t>
        </is>
      </c>
      <c r="J562" s="3" t="n">
        <v>0.53</v>
      </c>
      <c r="K562" t="inlineStr">
        <is>
          <t>자동차 및 트레일러 제조업</t>
        </is>
      </c>
      <c r="L562" t="inlineStr">
        <is>
          <t>1</t>
        </is>
      </c>
      <c r="M562" s="3" t="n">
        <v>0.979</v>
      </c>
      <c r="N562" t="inlineStr">
        <is>
          <t>긍정</t>
        </is>
      </c>
    </row>
    <row r="563">
      <c r="A563" s="1" t="inlineStr">
        <is>
          <t>2021-04-26</t>
        </is>
      </c>
      <c r="B563" t="inlineStr">
        <is>
          <t>news</t>
        </is>
      </c>
      <c r="C563" t="inlineStr">
        <is>
          <t>economy</t>
        </is>
      </c>
      <c r="D563" t="inlineStr">
        <is>
          <t>파이낸셜뉴스</t>
        </is>
      </c>
      <c r="E563" t="inlineStr">
        <is>
          <t>임광복</t>
        </is>
      </c>
      <c r="F563" t="inlineStr">
        <is>
          <t>수소 충전 지금보다 20% 싸진다</t>
        </is>
      </c>
      <c r="G563" s="2">
        <f>HYPERLINK("http://www.fnnews.com/news/202104261750208060", "Go to Website")</f>
        <v/>
      </c>
      <c r="H563" t="inlineStr"/>
      <c r="I563" t="inlineStr">
        <is>
          <t>100</t>
        </is>
      </c>
      <c r="J563" s="3" t="n">
        <v>0.804</v>
      </c>
      <c r="K563" t="inlineStr">
        <is>
          <t>분류 제외, 기타</t>
        </is>
      </c>
      <c r="L563" t="inlineStr">
        <is>
          <t>1</t>
        </is>
      </c>
      <c r="M563" s="3" t="n">
        <v>0.599</v>
      </c>
      <c r="N563" t="inlineStr">
        <is>
          <t>긍정</t>
        </is>
      </c>
    </row>
    <row r="564">
      <c r="A564" s="1" t="inlineStr">
        <is>
          <t>2021-04-26</t>
        </is>
      </c>
      <c r="B564" t="inlineStr">
        <is>
          <t>news</t>
        </is>
      </c>
      <c r="C564" t="inlineStr">
        <is>
          <t>economy</t>
        </is>
      </c>
      <c r="D564" t="inlineStr">
        <is>
          <t>아이뉴스24</t>
        </is>
      </c>
      <c r="E564" t="inlineStr">
        <is>
          <t>조석근</t>
        </is>
      </c>
      <c r="F564" t="inlineStr">
        <is>
          <t>'조현준호' 효성 '미래산업 쌀' 탄소섬유 투자 확대</t>
        </is>
      </c>
      <c r="G564" s="2">
        <f>HYPERLINK("http://www.inews24.com/view/1361855", "Go to Website")</f>
        <v/>
      </c>
      <c r="H564" t="inlineStr"/>
      <c r="I564" t="inlineStr">
        <is>
          <t>C20</t>
        </is>
      </c>
      <c r="J564" s="3" t="n">
        <v>0.989</v>
      </c>
      <c r="K564" t="inlineStr">
        <is>
          <t>화학 물질 및 화학제품 제조업; 의약품 제외</t>
        </is>
      </c>
      <c r="L564" t="inlineStr"/>
      <c r="M564" t="inlineStr"/>
      <c r="N564" t="inlineStr"/>
    </row>
    <row r="565">
      <c r="A565" s="1" t="inlineStr">
        <is>
          <t>2021-04-26</t>
        </is>
      </c>
      <c r="B565" t="inlineStr">
        <is>
          <t>news</t>
        </is>
      </c>
      <c r="C565" t="inlineStr">
        <is>
          <t>economy</t>
        </is>
      </c>
      <c r="D565" t="inlineStr">
        <is>
          <t>한국경제TV</t>
        </is>
      </c>
      <c r="E565" t="inlineStr">
        <is>
          <t>박해린</t>
        </is>
      </c>
      <c r="F565" t="inlineStr">
        <is>
          <t>정세균 다녀가고 50% 뛴 효성첨단소재…"지금도 안늦었다" [박해린의 뉴스&amp;마켓]</t>
        </is>
      </c>
      <c r="G565" s="2">
        <f>HYPERLINK("https://www.wowtv.co.kr/NewsCenter/News/Read?articleId=A202104260359&amp;t=NNv", "Go to Website")</f>
        <v/>
      </c>
      <c r="H565" t="inlineStr"/>
      <c r="I565" t="inlineStr">
        <is>
          <t>C20</t>
        </is>
      </c>
      <c r="J565" s="3" t="n">
        <v>1</v>
      </c>
      <c r="K565" t="inlineStr">
        <is>
          <t>화학 물질 및 화학제품 제조업; 의약품 제외</t>
        </is>
      </c>
      <c r="L565" t="inlineStr">
        <is>
          <t>0</t>
        </is>
      </c>
      <c r="M565" s="3" t="n">
        <v>0.619</v>
      </c>
      <c r="N565" t="inlineStr">
        <is>
          <t>중립</t>
        </is>
      </c>
    </row>
    <row r="566">
      <c r="A566" s="1" t="inlineStr">
        <is>
          <t>2021-04-26</t>
        </is>
      </c>
      <c r="B566" t="inlineStr">
        <is>
          <t>news</t>
        </is>
      </c>
      <c r="C566" t="inlineStr">
        <is>
          <t>economy</t>
        </is>
      </c>
      <c r="D566" t="inlineStr">
        <is>
          <t>MBN</t>
        </is>
      </c>
      <c r="E566" t="inlineStr"/>
      <c r="F566" t="inlineStr">
        <is>
          <t>MBN[토요포커스] 이항구 한국자동차연구원 연구위원 "위기는 곧 기회! 변화하는 자동차산업"</t>
        </is>
      </c>
      <c r="G566" s="2">
        <f>HYPERLINK("http://mbn.mk.co.kr/pages/news/newsView.php?news_seq_no=4487792", "Go to Website")</f>
        <v/>
      </c>
      <c r="H566" t="inlineStr"/>
      <c r="I566" t="inlineStr">
        <is>
          <t>100</t>
        </is>
      </c>
      <c r="J566" s="3" t="n">
        <v>0.297</v>
      </c>
      <c r="K566" t="inlineStr">
        <is>
          <t>분류 제외, 기타</t>
        </is>
      </c>
      <c r="L566" t="inlineStr"/>
      <c r="M566" t="inlineStr"/>
      <c r="N566" t="inlineStr"/>
    </row>
    <row r="567">
      <c r="A567" s="1" t="inlineStr">
        <is>
          <t>2021-04-26</t>
        </is>
      </c>
      <c r="B567" t="inlineStr">
        <is>
          <t>news</t>
        </is>
      </c>
      <c r="C567" t="inlineStr">
        <is>
          <t>economy</t>
        </is>
      </c>
      <c r="D567" t="inlineStr">
        <is>
          <t>스포츠조선</t>
        </is>
      </c>
      <c r="E567" t="inlineStr">
        <is>
          <t>이정혁</t>
        </is>
      </c>
      <c r="F567" t="inlineStr">
        <is>
          <t>현대차, 모빌리티 라이프에 최적화한 'Hyundai Mobility 카드' 론칭</t>
        </is>
      </c>
      <c r="G567" s="2">
        <f>HYPERLINK("http://sports.chosun.com/news/ntype.htm?id=202104270100222140014585&amp;servicedate=20210426", "Go to Website")</f>
        <v/>
      </c>
      <c r="H567" t="inlineStr"/>
      <c r="I567" t="inlineStr">
        <is>
          <t>C30</t>
        </is>
      </c>
      <c r="J567" s="3" t="n">
        <v>0.996</v>
      </c>
      <c r="K567" t="inlineStr">
        <is>
          <t>자동차 및 트레일러 제조업</t>
        </is>
      </c>
      <c r="L567" t="inlineStr">
        <is>
          <t>1</t>
        </is>
      </c>
      <c r="M567" s="3" t="n">
        <v>0.971</v>
      </c>
      <c r="N567" t="inlineStr">
        <is>
          <t>긍정</t>
        </is>
      </c>
    </row>
    <row r="568">
      <c r="A568" s="1" t="inlineStr">
        <is>
          <t>2021-04-26</t>
        </is>
      </c>
      <c r="B568" t="inlineStr">
        <is>
          <t>news</t>
        </is>
      </c>
      <c r="C568" t="inlineStr">
        <is>
          <t>economy</t>
        </is>
      </c>
      <c r="D568" t="inlineStr">
        <is>
          <t>아이뉴스24</t>
        </is>
      </c>
      <c r="E568" t="inlineStr">
        <is>
          <t>이효정</t>
        </is>
      </c>
      <c r="F568" t="inlineStr">
        <is>
          <t>현대카드, 현대자동차와 PLCC'현대 모빌리티 카드' 선봬</t>
        </is>
      </c>
      <c r="G568" s="2">
        <f>HYPERLINK("http://www.inews24.com/view/1361835", "Go to Website")</f>
        <v/>
      </c>
      <c r="H568" t="inlineStr"/>
      <c r="I568" t="inlineStr">
        <is>
          <t>100</t>
        </is>
      </c>
      <c r="J568" s="3" t="n">
        <v>0.508</v>
      </c>
      <c r="K568" t="inlineStr">
        <is>
          <t>분류 제외, 기타</t>
        </is>
      </c>
      <c r="L568" t="inlineStr">
        <is>
          <t>0</t>
        </is>
      </c>
      <c r="M568" s="3" t="n">
        <v>0.725</v>
      </c>
      <c r="N568" t="inlineStr">
        <is>
          <t>중립</t>
        </is>
      </c>
    </row>
    <row r="569">
      <c r="A569" s="1" t="inlineStr">
        <is>
          <t>2021-04-26</t>
        </is>
      </c>
      <c r="B569" t="inlineStr">
        <is>
          <t>news</t>
        </is>
      </c>
      <c r="C569" t="inlineStr">
        <is>
          <t>economy</t>
        </is>
      </c>
      <c r="D569" t="inlineStr">
        <is>
          <t>MBN</t>
        </is>
      </c>
      <c r="E569" t="inlineStr"/>
      <c r="F569" t="inlineStr">
        <is>
          <t>MBN[토요포커스] 이항구 한국자동차연구원 연구위원 "위기는 곧 기회! 변화하는 자동차산업"</t>
        </is>
      </c>
      <c r="G569" s="2">
        <f>HYPERLINK("http://mbn.mk.co.kr/pages/news/newsView.php?category=mbn00003&amp;news_seq_no=4487792", "Go to Website")</f>
        <v/>
      </c>
      <c r="H569" t="inlineStr"/>
      <c r="I569" t="inlineStr">
        <is>
          <t>100</t>
        </is>
      </c>
      <c r="J569" s="3" t="n">
        <v>0.407</v>
      </c>
      <c r="K569" t="inlineStr">
        <is>
          <t>분류 제외, 기타</t>
        </is>
      </c>
      <c r="L569" t="inlineStr"/>
      <c r="M569" t="inlineStr"/>
      <c r="N569" t="inlineStr"/>
    </row>
    <row r="570">
      <c r="A570" s="1" t="inlineStr">
        <is>
          <t>2021-04-26</t>
        </is>
      </c>
      <c r="B570" t="inlineStr">
        <is>
          <t>news</t>
        </is>
      </c>
      <c r="C570" t="inlineStr">
        <is>
          <t>economy</t>
        </is>
      </c>
      <c r="D570" t="inlineStr">
        <is>
          <t>전자신문</t>
        </is>
      </c>
      <c r="E570" t="inlineStr">
        <is>
          <t>박윤호</t>
        </is>
      </c>
      <c r="F570" t="inlineStr">
        <is>
          <t>현대카드, 현대車 PLCC '현대 모빌리티카드' 리뉴얼 출시</t>
        </is>
      </c>
      <c r="G570" s="2">
        <f>HYPERLINK("http://www.etnews.com/20210426000244", "Go to Website")</f>
        <v/>
      </c>
      <c r="H570" t="inlineStr"/>
      <c r="I570" t="inlineStr">
        <is>
          <t>K64</t>
        </is>
      </c>
      <c r="J570" s="3" t="n">
        <v>0.984</v>
      </c>
      <c r="K570" t="inlineStr">
        <is>
          <t>금융업</t>
        </is>
      </c>
      <c r="L570" t="inlineStr">
        <is>
          <t>1</t>
        </is>
      </c>
      <c r="M570" s="3" t="n">
        <v>0.996</v>
      </c>
      <c r="N570" t="inlineStr">
        <is>
          <t>긍정</t>
        </is>
      </c>
    </row>
    <row r="571">
      <c r="A571" s="1" t="inlineStr">
        <is>
          <t>2021-04-26</t>
        </is>
      </c>
      <c r="B571" t="inlineStr">
        <is>
          <t>news</t>
        </is>
      </c>
      <c r="C571" t="inlineStr">
        <is>
          <t>economy</t>
        </is>
      </c>
      <c r="D571" t="inlineStr">
        <is>
          <t>MBC</t>
        </is>
      </c>
      <c r="E571" t="inlineStr">
        <is>
          <t>남상호</t>
        </is>
      </c>
      <c r="F571" t="inlineStr">
        <is>
          <t>20% 이상 저렴한 차량용 부생수소 본격 공급</t>
        </is>
      </c>
      <c r="G571" s="2">
        <f>HYPERLINK("https://imnews.imbc.com/news/2021/econo/article/6160511_34887.html", "Go to Website")</f>
        <v/>
      </c>
      <c r="H571" t="inlineStr"/>
      <c r="I571" t="inlineStr">
        <is>
          <t>F41</t>
        </is>
      </c>
      <c r="J571" s="3" t="n">
        <v>0.786</v>
      </c>
      <c r="K571" t="inlineStr">
        <is>
          <t>종합 건설업</t>
        </is>
      </c>
      <c r="L571" t="inlineStr">
        <is>
          <t>1</t>
        </is>
      </c>
      <c r="M571" s="3" t="n">
        <v>0.972</v>
      </c>
      <c r="N571" t="inlineStr">
        <is>
          <t>긍정</t>
        </is>
      </c>
    </row>
    <row r="572">
      <c r="A572" s="1" t="inlineStr">
        <is>
          <t>2021-04-26</t>
        </is>
      </c>
      <c r="B572" t="inlineStr">
        <is>
          <t>news</t>
        </is>
      </c>
      <c r="C572" t="inlineStr">
        <is>
          <t>economy</t>
        </is>
      </c>
      <c r="D572" t="inlineStr">
        <is>
          <t>더팩트</t>
        </is>
      </c>
      <c r="E572" t="inlineStr">
        <is>
          <t>서재근</t>
        </is>
      </c>
      <c r="F572" t="inlineStr">
        <is>
          <t>현대차, '현대 모빌리티 카드' 론칭…"고객 편의 지향"</t>
        </is>
      </c>
      <c r="G572" s="2">
        <f>HYPERLINK("http://news.tf.co.kr/read/economy/1856900.htm", "Go to Website")</f>
        <v/>
      </c>
      <c r="H572" t="inlineStr"/>
      <c r="I572" t="inlineStr">
        <is>
          <t>C30</t>
        </is>
      </c>
      <c r="J572" s="3" t="n">
        <v>0.978</v>
      </c>
      <c r="K572" t="inlineStr">
        <is>
          <t>자동차 및 트레일러 제조업</t>
        </is>
      </c>
      <c r="L572" t="inlineStr">
        <is>
          <t>1</t>
        </is>
      </c>
      <c r="M572" s="3" t="n">
        <v>0.917</v>
      </c>
      <c r="N572" t="inlineStr">
        <is>
          <t>긍정</t>
        </is>
      </c>
    </row>
    <row r="573">
      <c r="A573" s="1" t="inlineStr">
        <is>
          <t>2021-04-26</t>
        </is>
      </c>
      <c r="B573" t="inlineStr">
        <is>
          <t>news</t>
        </is>
      </c>
      <c r="C573" t="inlineStr">
        <is>
          <t>economy</t>
        </is>
      </c>
      <c r="D573" t="inlineStr">
        <is>
          <t>디지털타임스</t>
        </is>
      </c>
      <c r="E573" t="inlineStr"/>
      <c r="F573" t="inlineStr">
        <is>
          <t>가격 20% 낮춘 수송용 부생수소 이달부터 공급</t>
        </is>
      </c>
      <c r="G573" s="2">
        <f>HYPERLINK("http://www.dt.co.kr/contents.html?article_no=2021042602109958063007", "Go to Website")</f>
        <v/>
      </c>
      <c r="H573" t="inlineStr"/>
      <c r="I573" t="inlineStr">
        <is>
          <t>F41</t>
        </is>
      </c>
      <c r="J573" s="3" t="n">
        <v>0.98</v>
      </c>
      <c r="K573" t="inlineStr">
        <is>
          <t>종합 건설업</t>
        </is>
      </c>
      <c r="L573" t="inlineStr">
        <is>
          <t>1</t>
        </is>
      </c>
      <c r="M573" s="3" t="n">
        <v>0.508</v>
      </c>
      <c r="N573" t="inlineStr">
        <is>
          <t>긍정</t>
        </is>
      </c>
    </row>
    <row r="574">
      <c r="A574" s="1" t="inlineStr">
        <is>
          <t>2021-04-26</t>
        </is>
      </c>
      <c r="B574" t="inlineStr">
        <is>
          <t>news</t>
        </is>
      </c>
      <c r="C574" t="inlineStr">
        <is>
          <t>economy</t>
        </is>
      </c>
      <c r="D574" t="inlineStr">
        <is>
          <t>뉴스1</t>
        </is>
      </c>
      <c r="E574" t="inlineStr">
        <is>
          <t>전원</t>
        </is>
      </c>
      <c r="F574" t="inlineStr">
        <is>
          <t>여수에 수소충전소 들어선다…전남서 총 9개소 운영</t>
        </is>
      </c>
      <c r="G574" s="2">
        <f>HYPERLINK("https://www.news1.kr/articles/?4286887", "Go to Website")</f>
        <v/>
      </c>
      <c r="H574" t="inlineStr"/>
      <c r="I574" t="inlineStr">
        <is>
          <t>100</t>
        </is>
      </c>
      <c r="J574" s="3" t="n">
        <v>0.79</v>
      </c>
      <c r="K574" t="inlineStr">
        <is>
          <t>분류 제외, 기타</t>
        </is>
      </c>
      <c r="L574" t="inlineStr"/>
      <c r="M574" t="inlineStr"/>
      <c r="N574" t="inlineStr"/>
    </row>
    <row r="575">
      <c r="A575" s="1" t="inlineStr">
        <is>
          <t>2021-04-26</t>
        </is>
      </c>
      <c r="B575" t="inlineStr">
        <is>
          <t>news</t>
        </is>
      </c>
      <c r="C575" t="inlineStr">
        <is>
          <t>economy</t>
        </is>
      </c>
      <c r="D575" t="inlineStr">
        <is>
          <t>연합뉴스</t>
        </is>
      </c>
      <c r="E575" t="inlineStr">
        <is>
          <t>여운창</t>
        </is>
      </c>
      <c r="F575" t="inlineStr">
        <is>
          <t>수소 버스·트럭 특수충전소, 여수 주삼동에 설치</t>
        </is>
      </c>
      <c r="G575" s="2">
        <f>HYPERLINK("http://yna.kr/AKR20210426091900054?did=1195m", "Go to Website")</f>
        <v/>
      </c>
      <c r="H575" t="inlineStr"/>
      <c r="I575" t="inlineStr">
        <is>
          <t>100</t>
        </is>
      </c>
      <c r="J575" s="3" t="n">
        <v>0.968</v>
      </c>
      <c r="K575" t="inlineStr">
        <is>
          <t>분류 제외, 기타</t>
        </is>
      </c>
      <c r="L575" t="inlineStr"/>
      <c r="M575" t="inlineStr"/>
      <c r="N575" t="inlineStr"/>
    </row>
    <row r="576">
      <c r="A576" s="1" t="inlineStr">
        <is>
          <t>2021-04-26</t>
        </is>
      </c>
      <c r="B576" t="inlineStr">
        <is>
          <t>news</t>
        </is>
      </c>
      <c r="C576" t="inlineStr">
        <is>
          <t>economy</t>
        </is>
      </c>
      <c r="D576" t="inlineStr">
        <is>
          <t>아이뉴스24</t>
        </is>
      </c>
      <c r="E576" t="inlineStr">
        <is>
          <t>한수연</t>
        </is>
      </c>
      <c r="F576" t="inlineStr">
        <is>
          <t>예스티 자회사, 대만·중국 H사서 SiC 전력반도체 수주</t>
        </is>
      </c>
      <c r="G576" s="2">
        <f>HYPERLINK("http://www.inews24.com/view/1361729", "Go to Website")</f>
        <v/>
      </c>
      <c r="H576" t="inlineStr"/>
      <c r="I576" t="inlineStr">
        <is>
          <t>C29</t>
        </is>
      </c>
      <c r="J576" s="3" t="n">
        <v>0.924</v>
      </c>
      <c r="K576" t="inlineStr">
        <is>
          <t>기타 기계 및 장비 제조업</t>
        </is>
      </c>
      <c r="L576" t="inlineStr">
        <is>
          <t>1</t>
        </is>
      </c>
      <c r="M576" s="3" t="n">
        <v>1</v>
      </c>
      <c r="N576" t="inlineStr">
        <is>
          <t>긍정</t>
        </is>
      </c>
    </row>
    <row r="577">
      <c r="A577" s="1" t="inlineStr">
        <is>
          <t>2021-04-26</t>
        </is>
      </c>
      <c r="B577" t="inlineStr">
        <is>
          <t>news</t>
        </is>
      </c>
      <c r="C577" t="inlineStr">
        <is>
          <t>economy</t>
        </is>
      </c>
      <c r="D577" t="inlineStr">
        <is>
          <t>한국경제</t>
        </is>
      </c>
      <c r="E577" t="inlineStr">
        <is>
          <t>한경닷컴</t>
        </is>
      </c>
      <c r="F577" t="inlineStr">
        <is>
          <t>'중국 압박' 바이든에 전기차 시장 들썩…정의선도 미국행</t>
        </is>
      </c>
      <c r="G577" s="2">
        <f>HYPERLINK("https://www.hankyung.com/economy/article/202104265967g", "Go to Website")</f>
        <v/>
      </c>
      <c r="H577" t="inlineStr"/>
      <c r="I577" t="inlineStr">
        <is>
          <t>C28</t>
        </is>
      </c>
      <c r="J577" s="3" t="n">
        <v>0.961</v>
      </c>
      <c r="K577" t="inlineStr">
        <is>
          <t>전기장비 제조업</t>
        </is>
      </c>
      <c r="L577" t="inlineStr"/>
      <c r="M577" t="inlineStr"/>
      <c r="N577" t="inlineStr"/>
    </row>
    <row r="578">
      <c r="A578" s="1" t="inlineStr">
        <is>
          <t>2021-04-26</t>
        </is>
      </c>
      <c r="B578" t="inlineStr">
        <is>
          <t>news</t>
        </is>
      </c>
      <c r="C578" t="inlineStr">
        <is>
          <t>economy</t>
        </is>
      </c>
      <c r="D578" t="inlineStr">
        <is>
          <t>연합뉴스</t>
        </is>
      </c>
      <c r="E578" t="inlineStr">
        <is>
          <t>우영식</t>
        </is>
      </c>
      <c r="F578" t="inlineStr">
        <is>
          <t>양주시, 내년 회정동에 수소차 충전소 설치</t>
        </is>
      </c>
      <c r="G578" s="2">
        <f>HYPERLINK("http://yna.kr/AKR20210426086000060?did=1195m", "Go to Website")</f>
        <v/>
      </c>
      <c r="H578" t="inlineStr"/>
      <c r="I578" t="inlineStr">
        <is>
          <t>K64</t>
        </is>
      </c>
      <c r="J578" s="3" t="n">
        <v>0.398</v>
      </c>
      <c r="K578" t="inlineStr">
        <is>
          <t>금융업</t>
        </is>
      </c>
      <c r="L578" t="inlineStr">
        <is>
          <t>0</t>
        </is>
      </c>
      <c r="M578" s="3" t="n">
        <v>0.963</v>
      </c>
      <c r="N578" t="inlineStr">
        <is>
          <t>중립</t>
        </is>
      </c>
    </row>
    <row r="579">
      <c r="A579" s="1" t="inlineStr">
        <is>
          <t>2021-04-26</t>
        </is>
      </c>
      <c r="B579" t="inlineStr">
        <is>
          <t>news</t>
        </is>
      </c>
      <c r="C579" t="inlineStr">
        <is>
          <t>economy</t>
        </is>
      </c>
      <c r="D579" t="inlineStr">
        <is>
          <t>헤럴드경제</t>
        </is>
      </c>
      <c r="E579" t="inlineStr">
        <is>
          <t>배문숙</t>
        </is>
      </c>
      <c r="F579" t="inlineStr">
        <is>
          <t>‘20% 이상 저렴’ 수송용 부생수소, 이달 본격 공급</t>
        </is>
      </c>
      <c r="G579" s="2">
        <f>HYPERLINK("http://news.heraldcorp.com/view.php?ud=20210426000772", "Go to Website")</f>
        <v/>
      </c>
      <c r="H579" t="inlineStr"/>
      <c r="I579" t="inlineStr">
        <is>
          <t>F41</t>
        </is>
      </c>
      <c r="J579" s="3" t="n">
        <v>0.991</v>
      </c>
      <c r="K579" t="inlineStr">
        <is>
          <t>종합 건설업</t>
        </is>
      </c>
      <c r="L579" t="inlineStr"/>
      <c r="M579" t="inlineStr"/>
      <c r="N579" t="inlineStr"/>
    </row>
    <row r="580">
      <c r="A580" s="1" t="inlineStr">
        <is>
          <t>2021-04-26</t>
        </is>
      </c>
      <c r="B580" t="inlineStr">
        <is>
          <t>news</t>
        </is>
      </c>
      <c r="C580" t="inlineStr">
        <is>
          <t>economy</t>
        </is>
      </c>
      <c r="D580" t="inlineStr">
        <is>
          <t>아이뉴스24</t>
        </is>
      </c>
      <c r="E580" t="inlineStr">
        <is>
          <t>정종오</t>
        </is>
      </c>
      <c r="F580" t="inlineStr">
        <is>
          <t>20% 이상 값싸게 수송용 부생수소 공급한다</t>
        </is>
      </c>
      <c r="G580" s="2">
        <f>HYPERLINK("http://www.inews24.com/view/1361724", "Go to Website")</f>
        <v/>
      </c>
      <c r="H580" t="inlineStr"/>
      <c r="I580" t="inlineStr">
        <is>
          <t>H49</t>
        </is>
      </c>
      <c r="J580" s="3" t="n">
        <v>0.997</v>
      </c>
      <c r="K580" t="inlineStr">
        <is>
          <t>육상 운송 및 파이프라인 운송업</t>
        </is>
      </c>
      <c r="L580" t="inlineStr">
        <is>
          <t>1</t>
        </is>
      </c>
      <c r="M580" s="3" t="n">
        <v>0.931</v>
      </c>
      <c r="N580" t="inlineStr">
        <is>
          <t>긍정</t>
        </is>
      </c>
    </row>
    <row r="581">
      <c r="A581" s="1" t="inlineStr">
        <is>
          <t>2021-04-26</t>
        </is>
      </c>
      <c r="B581" t="inlineStr">
        <is>
          <t>news</t>
        </is>
      </c>
      <c r="C581" t="inlineStr">
        <is>
          <t>economy</t>
        </is>
      </c>
      <c r="D581" t="inlineStr">
        <is>
          <t>KBS</t>
        </is>
      </c>
      <c r="E581" t="inlineStr"/>
      <c r="F581" t="inlineStr">
        <is>
          <t>20% 이상 싼 수소차용 수소 본격 공급</t>
        </is>
      </c>
      <c r="G581" s="2">
        <f>HYPERLINK("http://news.kbs.co.kr/news/view.do?ncd=5171251&amp;ref=A", "Go to Website")</f>
        <v/>
      </c>
      <c r="H581" t="inlineStr"/>
      <c r="I581" t="inlineStr">
        <is>
          <t>F41</t>
        </is>
      </c>
      <c r="J581" s="3" t="n">
        <v>0.673</v>
      </c>
      <c r="K581" t="inlineStr">
        <is>
          <t>종합 건설업</t>
        </is>
      </c>
      <c r="L581" t="inlineStr"/>
      <c r="M581" t="inlineStr"/>
      <c r="N581" t="inlineStr"/>
    </row>
    <row r="582">
      <c r="A582" s="1" t="inlineStr">
        <is>
          <t>2021-04-26</t>
        </is>
      </c>
      <c r="B582" t="inlineStr">
        <is>
          <t>news</t>
        </is>
      </c>
      <c r="C582" t="inlineStr">
        <is>
          <t>economy</t>
        </is>
      </c>
      <c r="D582" t="inlineStr">
        <is>
          <t>머니S</t>
        </is>
      </c>
      <c r="E582" t="inlineStr">
        <is>
          <t>강한빛</t>
        </is>
      </c>
      <c r="F582" t="inlineStr">
        <is>
          <t>[특징주] '수소차 관련주' 인지컨트롤스 강세… 18%↑</t>
        </is>
      </c>
      <c r="G582" s="2">
        <f>HYPERLINK("http://moneys.mt.co.kr/news/mwView.php?no=2021042613208088217", "Go to Website")</f>
        <v/>
      </c>
      <c r="H582" t="inlineStr"/>
      <c r="I582" t="inlineStr">
        <is>
          <t>C30</t>
        </is>
      </c>
      <c r="J582" s="3" t="n">
        <v>1</v>
      </c>
      <c r="K582" t="inlineStr">
        <is>
          <t>자동차 및 트레일러 제조업</t>
        </is>
      </c>
      <c r="L582" t="inlineStr">
        <is>
          <t>1</t>
        </is>
      </c>
      <c r="M582" s="3" t="n">
        <v>0.999</v>
      </c>
      <c r="N582" t="inlineStr">
        <is>
          <t>긍정</t>
        </is>
      </c>
    </row>
    <row r="583">
      <c r="A583" s="1" t="inlineStr">
        <is>
          <t>2021-04-26</t>
        </is>
      </c>
      <c r="B583" t="inlineStr">
        <is>
          <t>news</t>
        </is>
      </c>
      <c r="C583" t="inlineStr">
        <is>
          <t>economy</t>
        </is>
      </c>
      <c r="D583" t="inlineStr">
        <is>
          <t>전자신문</t>
        </is>
      </c>
      <c r="E583" t="inlineStr">
        <is>
          <t>함봉균</t>
        </is>
      </c>
      <c r="F583" t="inlineStr">
        <is>
          <t>수도권에 20% 저렴한 수송용 부생수소 공급된다</t>
        </is>
      </c>
      <c r="G583" s="2">
        <f>HYPERLINK("http://www.etnews.com/20210426000155", "Go to Website")</f>
        <v/>
      </c>
      <c r="H583" t="inlineStr"/>
      <c r="I583" t="inlineStr">
        <is>
          <t>C30</t>
        </is>
      </c>
      <c r="J583" s="3" t="n">
        <v>0.497</v>
      </c>
      <c r="K583" t="inlineStr">
        <is>
          <t>자동차 및 트레일러 제조업</t>
        </is>
      </c>
      <c r="L583" t="inlineStr">
        <is>
          <t>1</t>
        </is>
      </c>
      <c r="M583" s="3" t="n">
        <v>0.543</v>
      </c>
      <c r="N583" t="inlineStr">
        <is>
          <t>긍정</t>
        </is>
      </c>
    </row>
    <row r="584">
      <c r="A584" s="1" t="inlineStr">
        <is>
          <t>2021-04-26</t>
        </is>
      </c>
      <c r="B584" t="inlineStr">
        <is>
          <t>news</t>
        </is>
      </c>
      <c r="C584" t="inlineStr">
        <is>
          <t>tech</t>
        </is>
      </c>
      <c r="D584" t="inlineStr">
        <is>
          <t>동아사이언스</t>
        </is>
      </c>
      <c r="E584" t="inlineStr">
        <is>
          <t>조승한</t>
        </is>
      </c>
      <c r="F584" t="inlineStr">
        <is>
          <t>2025년 서울-부산 왕복 가능한 액화수소열차 나온다</t>
        </is>
      </c>
      <c r="G584" s="2">
        <f>HYPERLINK("http://www.dongascience.com/news/view/45916", "Go to Website")</f>
        <v/>
      </c>
      <c r="H584" t="inlineStr"/>
      <c r="I584" t="inlineStr"/>
      <c r="J584" t="inlineStr"/>
      <c r="K584" t="inlineStr"/>
      <c r="L584" t="inlineStr"/>
      <c r="M584" t="inlineStr"/>
      <c r="N584" t="inlineStr"/>
    </row>
    <row r="585">
      <c r="A585" s="1" t="inlineStr">
        <is>
          <t>2021-04-26</t>
        </is>
      </c>
      <c r="B585" t="inlineStr">
        <is>
          <t>news</t>
        </is>
      </c>
      <c r="C585" t="inlineStr">
        <is>
          <t>economy</t>
        </is>
      </c>
      <c r="D585" t="inlineStr">
        <is>
          <t>파이낸셜뉴스</t>
        </is>
      </c>
      <c r="E585" t="inlineStr">
        <is>
          <t>임광복</t>
        </is>
      </c>
      <c r="F585" t="inlineStr">
        <is>
          <t>'당진 부생수소 출하센터' 준공...수소값 20% 싸진다</t>
        </is>
      </c>
      <c r="G585" s="2">
        <f>HYPERLINK("http://www.fnnews.com/news/202104261128410704", "Go to Website")</f>
        <v/>
      </c>
      <c r="H585" t="inlineStr"/>
      <c r="I585" t="inlineStr">
        <is>
          <t>100</t>
        </is>
      </c>
      <c r="J585" s="3" t="n">
        <v>0.494</v>
      </c>
      <c r="K585" t="inlineStr">
        <is>
          <t>분류 제외, 기타</t>
        </is>
      </c>
      <c r="L585" t="inlineStr">
        <is>
          <t>1</t>
        </is>
      </c>
      <c r="M585" s="3" t="n">
        <v>0.987</v>
      </c>
      <c r="N585" t="inlineStr">
        <is>
          <t>긍정</t>
        </is>
      </c>
    </row>
    <row r="586">
      <c r="A586" s="1" t="inlineStr">
        <is>
          <t>2021-04-26</t>
        </is>
      </c>
      <c r="B586" t="inlineStr">
        <is>
          <t>news</t>
        </is>
      </c>
      <c r="C586" t="inlineStr">
        <is>
          <t>economy</t>
        </is>
      </c>
      <c r="D586" t="inlineStr">
        <is>
          <t>아시아경제</t>
        </is>
      </c>
      <c r="E586" t="inlineStr">
        <is>
          <t>이기민</t>
        </is>
      </c>
      <c r="F586" t="inlineStr">
        <is>
          <t>수소車 시대 성큼…차세대 선점 위한 인프라 조성 집중</t>
        </is>
      </c>
      <c r="G586" s="2">
        <f>HYPERLINK("https://view.asiae.co.kr/article/2021042610192112668", "Go to Website")</f>
        <v/>
      </c>
      <c r="H586" t="inlineStr"/>
      <c r="I586" t="inlineStr">
        <is>
          <t>C30</t>
        </is>
      </c>
      <c r="J586" s="3" t="n">
        <v>0.995</v>
      </c>
      <c r="K586" t="inlineStr">
        <is>
          <t>자동차 및 트레일러 제조업</t>
        </is>
      </c>
      <c r="L586" t="inlineStr"/>
      <c r="M586" t="inlineStr"/>
      <c r="N586" t="inlineStr"/>
    </row>
    <row r="587">
      <c r="A587" s="1" t="inlineStr">
        <is>
          <t>2021-04-26</t>
        </is>
      </c>
      <c r="B587" t="inlineStr">
        <is>
          <t>news</t>
        </is>
      </c>
      <c r="C587" t="inlineStr">
        <is>
          <t>economy</t>
        </is>
      </c>
      <c r="D587" t="inlineStr">
        <is>
          <t>헤럴드경제</t>
        </is>
      </c>
      <c r="E587" t="inlineStr">
        <is>
          <t>박자연</t>
        </is>
      </c>
      <c r="F587" t="inlineStr">
        <is>
          <t>현대카드, 현대차 손잡고 ‘모빌리티 카드’</t>
        </is>
      </c>
      <c r="G587" s="2">
        <f>HYPERLINK("http://news.heraldcorp.com/view.php?ud=20210426000547", "Go to Website")</f>
        <v/>
      </c>
      <c r="H587" t="inlineStr"/>
      <c r="I587" t="inlineStr">
        <is>
          <t>K64</t>
        </is>
      </c>
      <c r="J587" s="3" t="n">
        <v>0.9389999999999999</v>
      </c>
      <c r="K587" t="inlineStr">
        <is>
          <t>금융업</t>
        </is>
      </c>
      <c r="L587" t="inlineStr">
        <is>
          <t>0</t>
        </is>
      </c>
      <c r="M587" s="3" t="n">
        <v>0.927</v>
      </c>
      <c r="N587" t="inlineStr">
        <is>
          <t>중립</t>
        </is>
      </c>
    </row>
    <row r="588">
      <c r="A588" s="1" t="inlineStr">
        <is>
          <t>2021-04-26</t>
        </is>
      </c>
      <c r="B588" t="inlineStr">
        <is>
          <t>news</t>
        </is>
      </c>
      <c r="C588" t="inlineStr">
        <is>
          <t>economy</t>
        </is>
      </c>
      <c r="D588" t="inlineStr">
        <is>
          <t>이데일리</t>
        </is>
      </c>
      <c r="E588" t="inlineStr">
        <is>
          <t>문승관</t>
        </is>
      </c>
      <c r="F588" t="inlineStr">
        <is>
          <t>수소차 수소가격 20% ‘뚝’…당진 부생수소 출하센터 준공</t>
        </is>
      </c>
      <c r="G588" s="2">
        <f>HYPERLINK("http://www.edaily.co.kr/news/newspath.asp?newsid=02200886629020056", "Go to Website")</f>
        <v/>
      </c>
      <c r="H588" t="inlineStr"/>
      <c r="I588" t="inlineStr">
        <is>
          <t>C30</t>
        </is>
      </c>
      <c r="J588" s="3" t="n">
        <v>0.415</v>
      </c>
      <c r="K588" t="inlineStr">
        <is>
          <t>자동차 및 트레일러 제조업</t>
        </is>
      </c>
      <c r="L588" t="inlineStr">
        <is>
          <t>1</t>
        </is>
      </c>
      <c r="M588" s="3" t="n">
        <v>0.9370000000000001</v>
      </c>
      <c r="N588" t="inlineStr">
        <is>
          <t>긍정</t>
        </is>
      </c>
    </row>
    <row r="589">
      <c r="A589" s="1" t="inlineStr">
        <is>
          <t>2021-04-26</t>
        </is>
      </c>
      <c r="B589" t="inlineStr">
        <is>
          <t>news</t>
        </is>
      </c>
      <c r="C589" t="inlineStr">
        <is>
          <t>economy</t>
        </is>
      </c>
      <c r="D589" t="inlineStr">
        <is>
          <t>SBS Biz</t>
        </is>
      </c>
      <c r="E589" t="inlineStr">
        <is>
          <t>조슬기</t>
        </is>
      </c>
      <c r="F589" t="inlineStr">
        <is>
          <t>차량용 수소가격 이달부터 20% 이상 저렴해진다</t>
        </is>
      </c>
      <c r="G589" s="2">
        <f>HYPERLINK("https://biz.sbs.co.kr/article_hub/20000012976", "Go to Website")</f>
        <v/>
      </c>
      <c r="H589" t="inlineStr"/>
      <c r="I589" t="inlineStr">
        <is>
          <t>F41</t>
        </is>
      </c>
      <c r="J589" s="3" t="n">
        <v>0.528</v>
      </c>
      <c r="K589" t="inlineStr">
        <is>
          <t>종합 건설업</t>
        </is>
      </c>
      <c r="L589" t="inlineStr"/>
      <c r="M589" t="inlineStr"/>
      <c r="N589" t="inlineStr"/>
    </row>
    <row r="590">
      <c r="A590" s="1" t="inlineStr">
        <is>
          <t>2021-04-26</t>
        </is>
      </c>
      <c r="B590" t="inlineStr">
        <is>
          <t>news</t>
        </is>
      </c>
      <c r="C590" t="inlineStr">
        <is>
          <t>economy</t>
        </is>
      </c>
      <c r="D590" t="inlineStr">
        <is>
          <t>아시아경제</t>
        </is>
      </c>
      <c r="E590" t="inlineStr">
        <is>
          <t>이창환</t>
        </is>
      </c>
      <c r="F590" t="inlineStr">
        <is>
          <t>"2025년 수소전기차 본격 상용화"</t>
        </is>
      </c>
      <c r="G590" s="2">
        <f>HYPERLINK("https://view.asiae.co.kr/article/2021042611195385485", "Go to Website")</f>
        <v/>
      </c>
      <c r="H590" t="inlineStr"/>
      <c r="I590" t="inlineStr">
        <is>
          <t>C23</t>
        </is>
      </c>
      <c r="J590" s="3" t="n">
        <v>0.945</v>
      </c>
      <c r="K590" t="inlineStr">
        <is>
          <t>비금속 광물제품 제조업</t>
        </is>
      </c>
      <c r="L590" t="inlineStr">
        <is>
          <t>1</t>
        </is>
      </c>
      <c r="M590" s="3" t="n">
        <v>0.91</v>
      </c>
      <c r="N590" t="inlineStr">
        <is>
          <t>긍정</t>
        </is>
      </c>
    </row>
    <row r="591">
      <c r="A591" s="1" t="inlineStr">
        <is>
          <t>2021-04-26</t>
        </is>
      </c>
      <c r="B591" t="inlineStr">
        <is>
          <t>news</t>
        </is>
      </c>
      <c r="C591" t="inlineStr">
        <is>
          <t>economy</t>
        </is>
      </c>
      <c r="D591" t="inlineStr">
        <is>
          <t>이데일리</t>
        </is>
      </c>
      <c r="E591" t="inlineStr">
        <is>
          <t>김상윤</t>
        </is>
      </c>
      <c r="F591" t="inlineStr">
        <is>
          <t>가격 20% 낮췄다…수송용 부생수소 이달부터 본격 공급</t>
        </is>
      </c>
      <c r="G591" s="2">
        <f>HYPERLINK("http://www.edaily.co.kr/news/newspath.asp?newsid=02141846629020056", "Go to Website")</f>
        <v/>
      </c>
      <c r="H591" t="inlineStr"/>
      <c r="I591" t="inlineStr">
        <is>
          <t>F41</t>
        </is>
      </c>
      <c r="J591" s="3" t="n">
        <v>0.859</v>
      </c>
      <c r="K591" t="inlineStr">
        <is>
          <t>종합 건설업</t>
        </is>
      </c>
      <c r="L591" t="inlineStr"/>
      <c r="M591" t="inlineStr"/>
      <c r="N591" t="inlineStr"/>
    </row>
    <row r="592">
      <c r="A592" s="1" t="inlineStr">
        <is>
          <t>2021-04-26</t>
        </is>
      </c>
      <c r="B592" t="inlineStr">
        <is>
          <t>news</t>
        </is>
      </c>
      <c r="C592" t="inlineStr">
        <is>
          <t>economy</t>
        </is>
      </c>
      <c r="D592" t="inlineStr">
        <is>
          <t>조선비즈</t>
        </is>
      </c>
      <c r="E592" t="inlineStr">
        <is>
          <t>박성우</t>
        </is>
      </c>
      <c r="F592" t="inlineStr">
        <is>
          <t>차량용 수소가격 20% 싸진다...당진 부생수소 출하센터 준공</t>
        </is>
      </c>
      <c r="G592" s="2">
        <f>HYPERLINK("https://biz.chosun.com/site/data/html_dir/2021/04/26/2021042601273.html?utm_medium=original&amp;utm_campaign=biz", "Go to Website")</f>
        <v/>
      </c>
      <c r="H592" t="inlineStr"/>
      <c r="I592" t="inlineStr">
        <is>
          <t>H49</t>
        </is>
      </c>
      <c r="J592" s="3" t="n">
        <v>0.639</v>
      </c>
      <c r="K592" t="inlineStr">
        <is>
          <t>육상 운송 및 파이프라인 운송업</t>
        </is>
      </c>
      <c r="L592" t="inlineStr">
        <is>
          <t>0</t>
        </is>
      </c>
      <c r="M592" s="3" t="n">
        <v>0.881</v>
      </c>
      <c r="N592" t="inlineStr">
        <is>
          <t>중립</t>
        </is>
      </c>
    </row>
    <row r="593">
      <c r="A593" s="1" t="inlineStr">
        <is>
          <t>2021-04-26</t>
        </is>
      </c>
      <c r="B593" t="inlineStr">
        <is>
          <t>news</t>
        </is>
      </c>
      <c r="C593" t="inlineStr">
        <is>
          <t>economy</t>
        </is>
      </c>
      <c r="D593" t="inlineStr">
        <is>
          <t>아시아경제</t>
        </is>
      </c>
      <c r="E593" t="inlineStr">
        <is>
          <t>권해영</t>
        </is>
      </c>
      <c r="F593" t="inlineStr">
        <is>
          <t>당진 부생수소 출하센터 준공…연간 수소차 1.3만대분 공급</t>
        </is>
      </c>
      <c r="G593" s="2">
        <f>HYPERLINK("https://view.asiae.co.kr/article/2021042608223162084", "Go to Website")</f>
        <v/>
      </c>
      <c r="H593" t="inlineStr"/>
      <c r="I593" t="inlineStr">
        <is>
          <t>100</t>
        </is>
      </c>
      <c r="J593" s="3" t="n">
        <v>0.828</v>
      </c>
      <c r="K593" t="inlineStr">
        <is>
          <t>분류 제외, 기타</t>
        </is>
      </c>
      <c r="L593" t="inlineStr">
        <is>
          <t>1</t>
        </is>
      </c>
      <c r="M593" s="3" t="n">
        <v>0.985</v>
      </c>
      <c r="N593" t="inlineStr">
        <is>
          <t>긍정</t>
        </is>
      </c>
    </row>
    <row r="594">
      <c r="A594" s="1" t="inlineStr">
        <is>
          <t>2021-04-26</t>
        </is>
      </c>
      <c r="B594" t="inlineStr">
        <is>
          <t>news</t>
        </is>
      </c>
      <c r="C594" t="inlineStr">
        <is>
          <t>economy</t>
        </is>
      </c>
      <c r="D594" t="inlineStr">
        <is>
          <t>뉴시스</t>
        </is>
      </c>
      <c r="E594" t="inlineStr">
        <is>
          <t>이승재</t>
        </is>
      </c>
      <c r="F594" t="inlineStr">
        <is>
          <t>"20% 싼 수소 공급"…'당진 부생수소 출하센터' 준공</t>
        </is>
      </c>
      <c r="G594" s="2">
        <f>HYPERLINK("http://www.newsis.com/view/?id=NISX20210426_0001419436&amp;cID=10401&amp;pID=10400", "Go to Website")</f>
        <v/>
      </c>
      <c r="H594" t="inlineStr"/>
      <c r="I594" t="inlineStr">
        <is>
          <t>H49</t>
        </is>
      </c>
      <c r="J594" s="3" t="n">
        <v>0.529</v>
      </c>
      <c r="K594" t="inlineStr">
        <is>
          <t>육상 운송 및 파이프라인 운송업</t>
        </is>
      </c>
      <c r="L594" t="inlineStr"/>
      <c r="M594" t="inlineStr"/>
      <c r="N594" t="inlineStr"/>
    </row>
    <row r="595">
      <c r="A595" s="1" t="inlineStr">
        <is>
          <t>2021-04-26</t>
        </is>
      </c>
      <c r="B595" t="inlineStr">
        <is>
          <t>news</t>
        </is>
      </c>
      <c r="C595" t="inlineStr">
        <is>
          <t>economy</t>
        </is>
      </c>
      <c r="D595" t="inlineStr">
        <is>
          <t>머니투데이</t>
        </is>
      </c>
      <c r="E595" t="inlineStr">
        <is>
          <t>민동훈</t>
        </is>
      </c>
      <c r="F595" t="inlineStr">
        <is>
          <t>"20% 더 싸게"...넥쏘 1.3만대 굴릴 '수소유통망' 열렸다</t>
        </is>
      </c>
      <c r="G595" s="2">
        <f>HYPERLINK("http://news.mt.co.kr/mtview.php?no=2021042610203031602", "Go to Website")</f>
        <v/>
      </c>
      <c r="H595" t="inlineStr"/>
      <c r="I595" t="inlineStr">
        <is>
          <t>C30</t>
        </is>
      </c>
      <c r="J595" s="3" t="n">
        <v>0.525</v>
      </c>
      <c r="K595" t="inlineStr">
        <is>
          <t>자동차 및 트레일러 제조업</t>
        </is>
      </c>
      <c r="L595" t="inlineStr"/>
      <c r="M595" t="inlineStr"/>
      <c r="N595" t="inlineStr"/>
    </row>
    <row r="596">
      <c r="A596" s="1" t="inlineStr">
        <is>
          <t>2021-04-26</t>
        </is>
      </c>
      <c r="B596" t="inlineStr">
        <is>
          <t>news</t>
        </is>
      </c>
      <c r="C596" t="inlineStr">
        <is>
          <t>economy</t>
        </is>
      </c>
      <c r="D596" t="inlineStr">
        <is>
          <t>연합뉴스</t>
        </is>
      </c>
      <c r="E596" t="inlineStr">
        <is>
          <t>윤보람</t>
        </is>
      </c>
      <c r="F596" t="inlineStr">
        <is>
          <t>20% 이상 저렴한 '수송용 부생수소' 본격 공급</t>
        </is>
      </c>
      <c r="G596" s="2">
        <f>HYPERLINK("http://yna.kr/AKR20210426037200003?did=1195m", "Go to Website")</f>
        <v/>
      </c>
      <c r="H596" t="inlineStr"/>
      <c r="I596" t="inlineStr">
        <is>
          <t>F41</t>
        </is>
      </c>
      <c r="J596" s="3" t="n">
        <v>0.98</v>
      </c>
      <c r="K596" t="inlineStr">
        <is>
          <t>종합 건설업</t>
        </is>
      </c>
      <c r="L596" t="inlineStr"/>
      <c r="M596" t="inlineStr"/>
      <c r="N596" t="inlineStr"/>
    </row>
    <row r="597">
      <c r="A597" s="1" t="inlineStr">
        <is>
          <t>2021-04-26</t>
        </is>
      </c>
      <c r="B597" t="inlineStr">
        <is>
          <t>news</t>
        </is>
      </c>
      <c r="C597" t="inlineStr">
        <is>
          <t>economy</t>
        </is>
      </c>
      <c r="D597" t="inlineStr">
        <is>
          <t>데일리안</t>
        </is>
      </c>
      <c r="E597" t="inlineStr">
        <is>
          <t>배군득</t>
        </is>
      </c>
      <c r="F597" t="inlineStr">
        <is>
          <t>이달부터 20% 이상 저렴한 수송용 부생수소 공급</t>
        </is>
      </c>
      <c r="G597" s="2">
        <f>HYPERLINK("https://www.dailian.co.kr/news/view/985368/", "Go to Website")</f>
        <v/>
      </c>
      <c r="H597" t="inlineStr"/>
      <c r="I597" t="inlineStr">
        <is>
          <t>100</t>
        </is>
      </c>
      <c r="J597" s="3" t="n">
        <v>0.666</v>
      </c>
      <c r="K597" t="inlineStr">
        <is>
          <t>분류 제외, 기타</t>
        </is>
      </c>
      <c r="L597" t="inlineStr">
        <is>
          <t>1</t>
        </is>
      </c>
      <c r="M597" s="3" t="n">
        <v>0.931</v>
      </c>
      <c r="N597" t="inlineStr">
        <is>
          <t>긍정</t>
        </is>
      </c>
    </row>
    <row r="598">
      <c r="A598" s="1" t="inlineStr">
        <is>
          <t>2021-04-26</t>
        </is>
      </c>
      <c r="B598" t="inlineStr">
        <is>
          <t>news</t>
        </is>
      </c>
      <c r="C598" t="inlineStr">
        <is>
          <t>economy</t>
        </is>
      </c>
      <c r="D598" t="inlineStr">
        <is>
          <t>이데일리</t>
        </is>
      </c>
      <c r="E598" t="inlineStr">
        <is>
          <t>송승현</t>
        </is>
      </c>
      <c r="F598" t="inlineStr">
        <is>
          <t>현대차, 모빌리티 특화 카드 출시‥신차 구매 시 최대 2% 적립</t>
        </is>
      </c>
      <c r="G598" s="2">
        <f>HYPERLINK("http://www.edaily.co.kr/news/newspath.asp?newsid=01954886629020056", "Go to Website")</f>
        <v/>
      </c>
      <c r="H598" t="inlineStr"/>
      <c r="I598" t="inlineStr">
        <is>
          <t>C30</t>
        </is>
      </c>
      <c r="J598" s="3" t="n">
        <v>0.989</v>
      </c>
      <c r="K598" t="inlineStr">
        <is>
          <t>자동차 및 트레일러 제조업</t>
        </is>
      </c>
      <c r="L598" t="inlineStr">
        <is>
          <t>1</t>
        </is>
      </c>
      <c r="M598" s="3" t="n">
        <v>0.995</v>
      </c>
      <c r="N598" t="inlineStr">
        <is>
          <t>긍정</t>
        </is>
      </c>
    </row>
    <row r="599">
      <c r="A599" s="1" t="inlineStr">
        <is>
          <t>2021-04-26</t>
        </is>
      </c>
      <c r="B599" t="inlineStr">
        <is>
          <t>news</t>
        </is>
      </c>
      <c r="C599" t="inlineStr">
        <is>
          <t>economy</t>
        </is>
      </c>
      <c r="D599" t="inlineStr">
        <is>
          <t>서울경제</t>
        </is>
      </c>
      <c r="E599" t="inlineStr">
        <is>
          <t>변수연</t>
        </is>
      </c>
      <c r="F599" t="inlineStr">
        <is>
          <t>현대차, ‘모빌리티 카드’ 출시··· 구매금액 1.5% 적립</t>
        </is>
      </c>
      <c r="G599" s="2">
        <f>HYPERLINK("https://www.sedaily.com/NewsView/22L8GIJ2G5", "Go to Website")</f>
        <v/>
      </c>
      <c r="H599" t="inlineStr"/>
      <c r="I599" t="inlineStr">
        <is>
          <t>C30</t>
        </is>
      </c>
      <c r="J599" s="3" t="n">
        <v>1</v>
      </c>
      <c r="K599" t="inlineStr">
        <is>
          <t>자동차 및 트레일러 제조업</t>
        </is>
      </c>
      <c r="L599" t="inlineStr">
        <is>
          <t>1</t>
        </is>
      </c>
      <c r="M599" s="3" t="n">
        <v>0.873</v>
      </c>
      <c r="N599" t="inlineStr">
        <is>
          <t>긍정</t>
        </is>
      </c>
    </row>
    <row r="600">
      <c r="A600" s="1" t="inlineStr">
        <is>
          <t>2021-04-26</t>
        </is>
      </c>
      <c r="B600" t="inlineStr">
        <is>
          <t>news</t>
        </is>
      </c>
      <c r="C600" t="inlineStr">
        <is>
          <t>economy</t>
        </is>
      </c>
      <c r="D600" t="inlineStr">
        <is>
          <t>파이낸셜뉴스</t>
        </is>
      </c>
      <c r="E600" t="inlineStr">
        <is>
          <t>윤지영</t>
        </is>
      </c>
      <c r="F600" t="inlineStr">
        <is>
          <t>현대카드, 'Hyundai Mobility카드' 출시</t>
        </is>
      </c>
      <c r="G600" s="2">
        <f>HYPERLINK("http://www.fnnews.com/news/202104260950331182", "Go to Website")</f>
        <v/>
      </c>
      <c r="H600" t="inlineStr"/>
      <c r="I600" t="inlineStr">
        <is>
          <t>100</t>
        </is>
      </c>
      <c r="J600" s="3" t="n">
        <v>0.996</v>
      </c>
      <c r="K600" t="inlineStr">
        <is>
          <t>분류 제외, 기타</t>
        </is>
      </c>
      <c r="L600" t="inlineStr">
        <is>
          <t>1</t>
        </is>
      </c>
      <c r="M600" s="3" t="n">
        <v>0.997</v>
      </c>
      <c r="N600" t="inlineStr">
        <is>
          <t>긍정</t>
        </is>
      </c>
    </row>
    <row r="601">
      <c r="A601" s="1" t="inlineStr">
        <is>
          <t>2021-04-26</t>
        </is>
      </c>
      <c r="B601" t="inlineStr">
        <is>
          <t>news</t>
        </is>
      </c>
      <c r="C601" t="inlineStr">
        <is>
          <t>economy</t>
        </is>
      </c>
      <c r="D601" t="inlineStr">
        <is>
          <t>아시아경제</t>
        </is>
      </c>
      <c r="E601" t="inlineStr">
        <is>
          <t>기하영</t>
        </is>
      </c>
      <c r="F601" t="inlineStr">
        <is>
          <t>현대카드, 현대차와 '현대 모빌리티카드' 출시…"멤버십 혜택 강화"</t>
        </is>
      </c>
      <c r="G601" s="2">
        <f>HYPERLINK("https://view.asiae.co.kr/article/2021042610023772778", "Go to Website")</f>
        <v/>
      </c>
      <c r="H601" t="inlineStr"/>
      <c r="I601" t="inlineStr">
        <is>
          <t>K64</t>
        </is>
      </c>
      <c r="J601" s="3" t="n">
        <v>0.676</v>
      </c>
      <c r="K601" t="inlineStr">
        <is>
          <t>금융업</t>
        </is>
      </c>
      <c r="L601" t="inlineStr">
        <is>
          <t>1</t>
        </is>
      </c>
      <c r="M601" s="3" t="n">
        <v>0.906</v>
      </c>
      <c r="N601" t="inlineStr">
        <is>
          <t>긍정</t>
        </is>
      </c>
    </row>
    <row r="602">
      <c r="A602" s="1" t="inlineStr">
        <is>
          <t>2021-04-26</t>
        </is>
      </c>
      <c r="B602" t="inlineStr">
        <is>
          <t>news</t>
        </is>
      </c>
      <c r="C602" t="inlineStr">
        <is>
          <t>economy</t>
        </is>
      </c>
      <c r="D602" t="inlineStr">
        <is>
          <t>연합뉴스</t>
        </is>
      </c>
      <c r="E602" t="inlineStr">
        <is>
          <t>최평천</t>
        </is>
      </c>
      <c r="F602" t="inlineStr">
        <is>
          <t>현대차·현대카드, 현대 모빌리티 카드 출시…신차 구매 혜택</t>
        </is>
      </c>
      <c r="G602" s="2">
        <f>HYPERLINK("http://yna.kr/AKR20210426040000003?did=1195m", "Go to Website")</f>
        <v/>
      </c>
      <c r="H602" t="inlineStr"/>
      <c r="I602" t="inlineStr">
        <is>
          <t>C30</t>
        </is>
      </c>
      <c r="J602" s="3" t="n">
        <v>1</v>
      </c>
      <c r="K602" t="inlineStr">
        <is>
          <t>자동차 및 트레일러 제조업</t>
        </is>
      </c>
      <c r="L602" t="inlineStr">
        <is>
          <t>1</t>
        </is>
      </c>
      <c r="M602" s="3" t="n">
        <v>0.999</v>
      </c>
      <c r="N602" t="inlineStr">
        <is>
          <t>긍정</t>
        </is>
      </c>
    </row>
    <row r="603">
      <c r="A603" s="1" t="inlineStr">
        <is>
          <t>2021-04-26</t>
        </is>
      </c>
      <c r="B603" t="inlineStr">
        <is>
          <t>news</t>
        </is>
      </c>
      <c r="C603" t="inlineStr">
        <is>
          <t>economy</t>
        </is>
      </c>
      <c r="D603" t="inlineStr">
        <is>
          <t>아이뉴스24</t>
        </is>
      </c>
      <c r="E603" t="inlineStr">
        <is>
          <t>강길홍</t>
        </is>
      </c>
      <c r="F603" t="inlineStr">
        <is>
          <t>현대차, 모빌리티 라이프 특화 카드 출시</t>
        </is>
      </c>
      <c r="G603" s="2">
        <f>HYPERLINK("http://www.inews24.com/view/1361593", "Go to Website")</f>
        <v/>
      </c>
      <c r="H603" t="inlineStr"/>
      <c r="I603" t="inlineStr">
        <is>
          <t>C30</t>
        </is>
      </c>
      <c r="J603" s="3" t="n">
        <v>0.9320000000000001</v>
      </c>
      <c r="K603" t="inlineStr">
        <is>
          <t>자동차 및 트레일러 제조업</t>
        </is>
      </c>
      <c r="L603" t="inlineStr">
        <is>
          <t>1</t>
        </is>
      </c>
      <c r="M603" s="3" t="n">
        <v>0.999</v>
      </c>
      <c r="N603" t="inlineStr">
        <is>
          <t>긍정</t>
        </is>
      </c>
    </row>
    <row r="604">
      <c r="A604" s="1" t="inlineStr">
        <is>
          <t>2021-04-26</t>
        </is>
      </c>
      <c r="B604" t="inlineStr">
        <is>
          <t>news</t>
        </is>
      </c>
      <c r="C604" t="inlineStr">
        <is>
          <t>economy</t>
        </is>
      </c>
      <c r="D604" t="inlineStr">
        <is>
          <t>SBS Biz</t>
        </is>
      </c>
      <c r="E604" t="inlineStr">
        <is>
          <t>윤성훈</t>
        </is>
      </c>
      <c r="F604" t="inlineStr">
        <is>
          <t>현대차, ‘현대 모빌리티 카드’ 런칭…"신차 구매고객 혜택 제공"</t>
        </is>
      </c>
      <c r="G604" s="2">
        <f>HYPERLINK("https://biz.sbs.co.kr/article_hub/20000012951", "Go to Website")</f>
        <v/>
      </c>
      <c r="H604" t="inlineStr"/>
      <c r="I604" t="inlineStr">
        <is>
          <t>C30</t>
        </is>
      </c>
      <c r="J604" s="3" t="n">
        <v>1</v>
      </c>
      <c r="K604" t="inlineStr">
        <is>
          <t>자동차 및 트레일러 제조업</t>
        </is>
      </c>
      <c r="L604" t="inlineStr">
        <is>
          <t>1</t>
        </is>
      </c>
      <c r="M604" s="3" t="n">
        <v>0.579</v>
      </c>
      <c r="N604" t="inlineStr">
        <is>
          <t>긍정</t>
        </is>
      </c>
    </row>
    <row r="605">
      <c r="A605" s="1" t="inlineStr">
        <is>
          <t>2021-04-26</t>
        </is>
      </c>
      <c r="B605" t="inlineStr">
        <is>
          <t>news</t>
        </is>
      </c>
      <c r="C605" t="inlineStr">
        <is>
          <t>economy</t>
        </is>
      </c>
      <c r="D605" t="inlineStr">
        <is>
          <t>뉴시스</t>
        </is>
      </c>
      <c r="E605" t="inlineStr">
        <is>
          <t>신항섭</t>
        </is>
      </c>
      <c r="F605" t="inlineStr">
        <is>
          <t>예스티 자회사 예스파워테크닉스, 500억 규모 공급계약 체결</t>
        </is>
      </c>
      <c r="G605" s="2">
        <f>HYPERLINK("http://www.newsis.com/view/?id=NISX20210426_0001419354&amp;cID=10403&amp;pID=15000", "Go to Website")</f>
        <v/>
      </c>
      <c r="H605" t="inlineStr"/>
      <c r="I605" t="inlineStr">
        <is>
          <t>C29</t>
        </is>
      </c>
      <c r="J605" s="3" t="n">
        <v>0.697</v>
      </c>
      <c r="K605" t="inlineStr">
        <is>
          <t>기타 기계 및 장비 제조업</t>
        </is>
      </c>
      <c r="L605" t="inlineStr">
        <is>
          <t>1</t>
        </is>
      </c>
      <c r="M605" s="3" t="n">
        <v>1</v>
      </c>
      <c r="N605" t="inlineStr">
        <is>
          <t>긍정</t>
        </is>
      </c>
    </row>
    <row r="606">
      <c r="A606" s="1" t="inlineStr">
        <is>
          <t>2021-04-26</t>
        </is>
      </c>
      <c r="B606" t="inlineStr">
        <is>
          <t>news</t>
        </is>
      </c>
      <c r="C606" t="inlineStr">
        <is>
          <t>economy</t>
        </is>
      </c>
      <c r="D606" t="inlineStr">
        <is>
          <t>동아일보</t>
        </is>
      </c>
      <c r="E606" t="inlineStr">
        <is>
          <t>정진수</t>
        </is>
      </c>
      <c r="F606" t="inlineStr">
        <is>
          <t>현대차, ‘모빌리티 카드’ 출시… 구매 가격 1.5% 기본 적립</t>
        </is>
      </c>
      <c r="G606" s="2">
        <f>HYPERLINK("https://www.donga.com/news/article/all/20210426/106608472/2", "Go to Website")</f>
        <v/>
      </c>
      <c r="H606" t="inlineStr"/>
      <c r="I606" t="inlineStr">
        <is>
          <t>C30</t>
        </is>
      </c>
      <c r="J606" s="3" t="n">
        <v>1</v>
      </c>
      <c r="K606" t="inlineStr">
        <is>
          <t>자동차 및 트레일러 제조업</t>
        </is>
      </c>
      <c r="L606" t="inlineStr">
        <is>
          <t>0</t>
        </is>
      </c>
      <c r="M606" s="3" t="n">
        <v>0.597</v>
      </c>
      <c r="N606" t="inlineStr">
        <is>
          <t>중립</t>
        </is>
      </c>
    </row>
    <row r="607">
      <c r="A607" s="1" t="inlineStr">
        <is>
          <t>2021-04-26</t>
        </is>
      </c>
      <c r="B607" t="inlineStr">
        <is>
          <t>news</t>
        </is>
      </c>
      <c r="C607" t="inlineStr">
        <is>
          <t>economy</t>
        </is>
      </c>
      <c r="D607" t="inlineStr">
        <is>
          <t>부산일보</t>
        </is>
      </c>
      <c r="E607" t="inlineStr">
        <is>
          <t>배동진</t>
        </is>
      </c>
      <c r="F607" t="inlineStr">
        <is>
          <t>현대차, ‘현대 모빌리티 카드’ 런칭…차값 최대 2% 적립, 각종 모빌리티 혜택</t>
        </is>
      </c>
      <c r="G607" s="2">
        <f>HYPERLINK("http://www.busan.com/view/busan/view.php?code=2021042608565200002", "Go to Website")</f>
        <v/>
      </c>
      <c r="H607" t="inlineStr"/>
      <c r="I607" t="inlineStr">
        <is>
          <t>C30</t>
        </is>
      </c>
      <c r="J607" s="3" t="n">
        <v>1</v>
      </c>
      <c r="K607" t="inlineStr">
        <is>
          <t>자동차 및 트레일러 제조업</t>
        </is>
      </c>
      <c r="L607" t="inlineStr">
        <is>
          <t>1</t>
        </is>
      </c>
      <c r="M607" s="3" t="n">
        <v>0.7</v>
      </c>
      <c r="N607" t="inlineStr">
        <is>
          <t>긍정</t>
        </is>
      </c>
    </row>
    <row r="608">
      <c r="A608" s="1" t="inlineStr">
        <is>
          <t>2021-04-26</t>
        </is>
      </c>
      <c r="B608" t="inlineStr">
        <is>
          <t>news</t>
        </is>
      </c>
      <c r="C608" t="inlineStr">
        <is>
          <t>economy</t>
        </is>
      </c>
      <c r="D608" t="inlineStr">
        <is>
          <t>뉴시스</t>
        </is>
      </c>
      <c r="E608" t="inlineStr">
        <is>
          <t>박주연</t>
        </is>
      </c>
      <c r="F608" t="inlineStr">
        <is>
          <t>현대차, '현대 모빌리티 카드' 론칭…충전혜택 'EV 카드'도</t>
        </is>
      </c>
      <c r="G608" s="2">
        <f>HYPERLINK("http://www.newsis.com/view/?id=NISX20210426_0001419325&amp;cID=13001&amp;pID=13000", "Go to Website")</f>
        <v/>
      </c>
      <c r="H608" t="inlineStr"/>
      <c r="I608" t="inlineStr">
        <is>
          <t>C30</t>
        </is>
      </c>
      <c r="J608" s="3" t="n">
        <v>0.724</v>
      </c>
      <c r="K608" t="inlineStr">
        <is>
          <t>자동차 및 트레일러 제조업</t>
        </is>
      </c>
      <c r="L608" t="inlineStr">
        <is>
          <t>1</t>
        </is>
      </c>
      <c r="M608" s="3" t="n">
        <v>0.793</v>
      </c>
      <c r="N608" t="inlineStr">
        <is>
          <t>긍정</t>
        </is>
      </c>
    </row>
    <row r="609">
      <c r="A609" s="1" t="inlineStr">
        <is>
          <t>2021-04-26</t>
        </is>
      </c>
      <c r="B609" t="inlineStr">
        <is>
          <t>news</t>
        </is>
      </c>
      <c r="C609" t="inlineStr">
        <is>
          <t>economy</t>
        </is>
      </c>
      <c r="D609" t="inlineStr">
        <is>
          <t>파이낸셜뉴스</t>
        </is>
      </c>
      <c r="E609" t="inlineStr">
        <is>
          <t>조윤진</t>
        </is>
      </c>
      <c r="F609" t="inlineStr">
        <is>
          <t>예스티 자회사 예스파워테크닉스, 대만·중국 H사와 500억원 규모 공급계약 체결</t>
        </is>
      </c>
      <c r="G609" s="2">
        <f>HYPERLINK("http://www.fnnews.com/news/202104260909217481", "Go to Website")</f>
        <v/>
      </c>
      <c r="H609" t="inlineStr"/>
      <c r="I609" t="inlineStr">
        <is>
          <t>C26</t>
        </is>
      </c>
      <c r="J609" s="3" t="n">
        <v>0.576</v>
      </c>
      <c r="K609" t="inlineStr">
        <is>
          <t>전자 부품, 컴퓨터, 영상, 음향 및 통신장비 제조업</t>
        </is>
      </c>
      <c r="L609" t="inlineStr">
        <is>
          <t>1</t>
        </is>
      </c>
      <c r="M609" s="3" t="n">
        <v>0.999</v>
      </c>
      <c r="N609" t="inlineStr">
        <is>
          <t>긍정</t>
        </is>
      </c>
    </row>
    <row r="610">
      <c r="A610" s="1" t="inlineStr">
        <is>
          <t>2021-04-26</t>
        </is>
      </c>
      <c r="B610" t="inlineStr">
        <is>
          <t>news</t>
        </is>
      </c>
      <c r="C610" t="inlineStr">
        <is>
          <t>economy</t>
        </is>
      </c>
      <c r="D610" t="inlineStr">
        <is>
          <t>파이낸셜뉴스</t>
        </is>
      </c>
      <c r="E610" t="inlineStr">
        <is>
          <t>최종근</t>
        </is>
      </c>
      <c r="F610" t="inlineStr">
        <is>
          <t>현대차, '현대 모빌리티 카드' 론칭…블루멤버스 포인트 적립</t>
        </is>
      </c>
      <c r="G610" s="2">
        <f>HYPERLINK("http://www.fnnews.com/news/202104260903352980", "Go to Website")</f>
        <v/>
      </c>
      <c r="H610" t="inlineStr"/>
      <c r="I610" t="inlineStr">
        <is>
          <t>C30</t>
        </is>
      </c>
      <c r="J610" s="3" t="n">
        <v>1</v>
      </c>
      <c r="K610" t="inlineStr">
        <is>
          <t>자동차 및 트레일러 제조업</t>
        </is>
      </c>
      <c r="L610" t="inlineStr">
        <is>
          <t>1</t>
        </is>
      </c>
      <c r="M610" s="3" t="n">
        <v>0.928</v>
      </c>
      <c r="N610" t="inlineStr">
        <is>
          <t>긍정</t>
        </is>
      </c>
    </row>
    <row r="611">
      <c r="A611" s="1" t="inlineStr">
        <is>
          <t>2021-04-26</t>
        </is>
      </c>
      <c r="B611" t="inlineStr">
        <is>
          <t>news</t>
        </is>
      </c>
      <c r="C611" t="inlineStr">
        <is>
          <t>economy</t>
        </is>
      </c>
      <c r="D611" t="inlineStr">
        <is>
          <t>뉴스1</t>
        </is>
      </c>
      <c r="E611" t="inlineStr">
        <is>
          <t>서영빈</t>
        </is>
      </c>
      <c r="F611" t="inlineStr">
        <is>
          <t>키움증권, 현대위아 목표가 하향…"신흥국 수요회복 지연"</t>
        </is>
      </c>
      <c r="G611" s="2">
        <f>HYPERLINK("https://www.news1.kr/articles/?4286216", "Go to Website")</f>
        <v/>
      </c>
      <c r="H611" t="inlineStr"/>
      <c r="I611" t="inlineStr">
        <is>
          <t>C30</t>
        </is>
      </c>
      <c r="J611" s="3" t="n">
        <v>1</v>
      </c>
      <c r="K611" t="inlineStr">
        <is>
          <t>자동차 및 트레일러 제조업</t>
        </is>
      </c>
      <c r="L611" t="inlineStr"/>
      <c r="M611" t="inlineStr"/>
      <c r="N611" t="inlineStr"/>
    </row>
    <row r="612">
      <c r="A612" s="1" t="inlineStr">
        <is>
          <t>2021-04-26</t>
        </is>
      </c>
      <c r="B612" t="inlineStr">
        <is>
          <t>news</t>
        </is>
      </c>
      <c r="C612" t="inlineStr">
        <is>
          <t>economy</t>
        </is>
      </c>
      <c r="D612" t="inlineStr">
        <is>
          <t>아시아경제</t>
        </is>
      </c>
      <c r="E612" t="inlineStr">
        <is>
          <t>유제훈</t>
        </is>
      </c>
      <c r="F612" t="inlineStr">
        <is>
          <t>모빌리티 라이프 최적화 '현대 모빌리티 카드' 론칭</t>
        </is>
      </c>
      <c r="G612" s="2">
        <f>HYPERLINK("https://view.asiae.co.kr/article/2021042608584226361", "Go to Website")</f>
        <v/>
      </c>
      <c r="H612" t="inlineStr"/>
      <c r="I612" t="inlineStr">
        <is>
          <t>100</t>
        </is>
      </c>
      <c r="J612" s="3" t="n">
        <v>0.315</v>
      </c>
      <c r="K612" t="inlineStr">
        <is>
          <t>분류 제외, 기타</t>
        </is>
      </c>
      <c r="L612" t="inlineStr">
        <is>
          <t>1</t>
        </is>
      </c>
      <c r="M612" s="3" t="n">
        <v>0.671</v>
      </c>
      <c r="N612" t="inlineStr">
        <is>
          <t>긍정</t>
        </is>
      </c>
    </row>
    <row r="613">
      <c r="A613" s="1" t="inlineStr">
        <is>
          <t>2021-04-26</t>
        </is>
      </c>
      <c r="B613" t="inlineStr">
        <is>
          <t>news</t>
        </is>
      </c>
      <c r="C613" t="inlineStr">
        <is>
          <t>economy</t>
        </is>
      </c>
      <c r="D613" t="inlineStr">
        <is>
          <t>뉴스1</t>
        </is>
      </c>
      <c r="E613" t="inlineStr">
        <is>
          <t>신건웅</t>
        </is>
      </c>
      <c r="F613" t="inlineStr">
        <is>
          <t>현대차, 모빌리티 라이프에 최적화한 '전용카드' 선봬</t>
        </is>
      </c>
      <c r="G613" s="2">
        <f>HYPERLINK("https://www.news1.kr/articles/?4286204", "Go to Website")</f>
        <v/>
      </c>
      <c r="H613" t="inlineStr"/>
      <c r="I613" t="inlineStr">
        <is>
          <t>C30</t>
        </is>
      </c>
      <c r="J613" s="3" t="n">
        <v>1</v>
      </c>
      <c r="K613" t="inlineStr">
        <is>
          <t>자동차 및 트레일러 제조업</t>
        </is>
      </c>
      <c r="L613" t="inlineStr">
        <is>
          <t>0</t>
        </is>
      </c>
      <c r="M613" s="3" t="n">
        <v>0.839</v>
      </c>
      <c r="N613" t="inlineStr">
        <is>
          <t>중립</t>
        </is>
      </c>
    </row>
    <row r="614">
      <c r="A614" s="1" t="inlineStr">
        <is>
          <t>2021-04-26</t>
        </is>
      </c>
      <c r="B614" t="inlineStr">
        <is>
          <t>news</t>
        </is>
      </c>
      <c r="C614" t="inlineStr">
        <is>
          <t>economy</t>
        </is>
      </c>
      <c r="D614" t="inlineStr">
        <is>
          <t>헤럴드경제</t>
        </is>
      </c>
      <c r="E614" t="inlineStr">
        <is>
          <t>정찬수</t>
        </is>
      </c>
      <c r="F614" t="inlineStr">
        <is>
          <t>현대차 ‘Hyundai Mobility 카드’ 출시</t>
        </is>
      </c>
      <c r="G614" s="2">
        <f>HYPERLINK("http://news.heraldcorp.com/view.php?ud=20210426000078", "Go to Website")</f>
        <v/>
      </c>
      <c r="H614" t="inlineStr"/>
      <c r="I614" t="inlineStr">
        <is>
          <t>C30</t>
        </is>
      </c>
      <c r="J614" s="3" t="n">
        <v>0.885</v>
      </c>
      <c r="K614" t="inlineStr">
        <is>
          <t>자동차 및 트레일러 제조업</t>
        </is>
      </c>
      <c r="L614" t="inlineStr">
        <is>
          <t>1</t>
        </is>
      </c>
      <c r="M614" s="3" t="n">
        <v>1</v>
      </c>
      <c r="N614" t="inlineStr">
        <is>
          <t>긍정</t>
        </is>
      </c>
    </row>
    <row r="615">
      <c r="A615" s="1" t="inlineStr">
        <is>
          <t>2021-04-26</t>
        </is>
      </c>
      <c r="B615" t="inlineStr">
        <is>
          <t>news</t>
        </is>
      </c>
      <c r="C615" t="inlineStr">
        <is>
          <t>economy</t>
        </is>
      </c>
      <c r="D615" t="inlineStr">
        <is>
          <t>데일리안</t>
        </is>
      </c>
      <c r="E615" t="inlineStr">
        <is>
          <t>조인영</t>
        </is>
      </c>
      <c r="F615" t="inlineStr">
        <is>
          <t>현대차, '현대 모빌리티·EV 카드' 런칭…신차구매·충전 적립 혜택</t>
        </is>
      </c>
      <c r="G615" s="2">
        <f>HYPERLINK("https://www.dailian.co.kr/news/view/985276/", "Go to Website")</f>
        <v/>
      </c>
      <c r="H615" t="inlineStr"/>
      <c r="I615" t="inlineStr">
        <is>
          <t>C30</t>
        </is>
      </c>
      <c r="J615" s="3" t="n">
        <v>0.972</v>
      </c>
      <c r="K615" t="inlineStr">
        <is>
          <t>자동차 및 트레일러 제조업</t>
        </is>
      </c>
      <c r="L615" t="inlineStr">
        <is>
          <t>1</t>
        </is>
      </c>
      <c r="M615" s="3" t="n">
        <v>0.8</v>
      </c>
      <c r="N615" t="inlineStr">
        <is>
          <t>긍정</t>
        </is>
      </c>
    </row>
    <row r="616">
      <c r="A616" s="1" t="inlineStr">
        <is>
          <t>2021-04-26</t>
        </is>
      </c>
      <c r="B616" t="inlineStr">
        <is>
          <t>news</t>
        </is>
      </c>
      <c r="C616" t="inlineStr">
        <is>
          <t>economy</t>
        </is>
      </c>
      <c r="D616" t="inlineStr">
        <is>
          <t>한국경제</t>
        </is>
      </c>
      <c r="E616" t="inlineStr">
        <is>
          <t>오경묵</t>
        </is>
      </c>
      <c r="F616" t="inlineStr">
        <is>
          <t>경상북도, 미래차 미래차 산업 생태계 전환 사업 본격화</t>
        </is>
      </c>
      <c r="G616" s="2">
        <f>HYPERLINK("https://www.hankyung.com/economy/article/202104264667h", "Go to Website")</f>
        <v/>
      </c>
      <c r="H616" t="inlineStr"/>
      <c r="I616" t="inlineStr">
        <is>
          <t>C30</t>
        </is>
      </c>
      <c r="J616" s="3" t="n">
        <v>0.492</v>
      </c>
      <c r="K616" t="inlineStr">
        <is>
          <t>자동차 및 트레일러 제조업</t>
        </is>
      </c>
      <c r="L616" t="inlineStr"/>
      <c r="M616" t="inlineStr"/>
      <c r="N616" t="inlineStr"/>
    </row>
    <row r="617">
      <c r="A617" s="1" t="inlineStr">
        <is>
          <t>2021-04-26</t>
        </is>
      </c>
      <c r="B617" t="inlineStr">
        <is>
          <t>news</t>
        </is>
      </c>
      <c r="C617" t="inlineStr">
        <is>
          <t>economy</t>
        </is>
      </c>
      <c r="D617" t="inlineStr">
        <is>
          <t>아시아경제</t>
        </is>
      </c>
      <c r="E617" t="inlineStr">
        <is>
          <t>공병선</t>
        </is>
      </c>
      <c r="F617" t="inlineStr">
        <is>
          <t>[클릭 e종목]“현대위아, 기계 부문 적자…중국·멕시코 개선 필요”</t>
        </is>
      </c>
      <c r="G617" s="2">
        <f>HYPERLINK("https://view.asiae.co.kr/article/2021042607545139959", "Go to Website")</f>
        <v/>
      </c>
      <c r="H617" t="inlineStr"/>
      <c r="I617" t="inlineStr">
        <is>
          <t>C30</t>
        </is>
      </c>
      <c r="J617" s="3" t="n">
        <v>1</v>
      </c>
      <c r="K617" t="inlineStr">
        <is>
          <t>자동차 및 트레일러 제조업</t>
        </is>
      </c>
      <c r="L617" t="inlineStr">
        <is>
          <t>-1</t>
        </is>
      </c>
      <c r="M617" s="3" t="n">
        <v>0.956</v>
      </c>
      <c r="N617" t="inlineStr">
        <is>
          <t>부정</t>
        </is>
      </c>
    </row>
    <row r="618">
      <c r="A618" s="1" t="inlineStr">
        <is>
          <t>2021-04-26</t>
        </is>
      </c>
      <c r="B618" t="inlineStr">
        <is>
          <t>news</t>
        </is>
      </c>
      <c r="C618" t="inlineStr">
        <is>
          <t>economy</t>
        </is>
      </c>
      <c r="D618" t="inlineStr">
        <is>
          <t>머니투데이</t>
        </is>
      </c>
      <c r="E618" t="inlineStr">
        <is>
          <t>이강준</t>
        </is>
      </c>
      <c r="F618" t="inlineStr">
        <is>
          <t>현대차그룹, 수소車만 잘한다고?…아이오닉5·EV6 '초대박'</t>
        </is>
      </c>
      <c r="G618" s="2">
        <f>HYPERLINK("http://news.mt.co.kr/mtview.php?no=2021042120385710898", "Go to Website")</f>
        <v/>
      </c>
      <c r="H618" t="inlineStr"/>
      <c r="I618" t="inlineStr">
        <is>
          <t>N76</t>
        </is>
      </c>
      <c r="J618" s="3" t="n">
        <v>1</v>
      </c>
      <c r="K618" t="inlineStr">
        <is>
          <t>임대업; 부동산 제외</t>
        </is>
      </c>
      <c r="L618" t="inlineStr"/>
      <c r="M618" t="inlineStr"/>
      <c r="N618" t="inlineStr"/>
    </row>
    <row r="619">
      <c r="A619" s="1" t="inlineStr">
        <is>
          <t>2021-04-26</t>
        </is>
      </c>
      <c r="B619" t="inlineStr">
        <is>
          <t>news</t>
        </is>
      </c>
      <c r="C619" t="inlineStr">
        <is>
          <t>economy</t>
        </is>
      </c>
      <c r="D619" t="inlineStr">
        <is>
          <t>머니투데이</t>
        </is>
      </c>
      <c r="E619" t="inlineStr">
        <is>
          <t>주명호</t>
        </is>
      </c>
      <c r="F619" t="inlineStr">
        <is>
          <t>현대차의 수소 빅픽처, 승용차 만큼 버스·트럭 주목 받는 이유</t>
        </is>
      </c>
      <c r="G619" s="2">
        <f>HYPERLINK("http://news.mt.co.kr/mtview.php?no=2021042509211688308", "Go to Website")</f>
        <v/>
      </c>
      <c r="H619" t="inlineStr"/>
      <c r="I619" t="inlineStr">
        <is>
          <t>N76</t>
        </is>
      </c>
      <c r="J619" s="3" t="n">
        <v>0.991</v>
      </c>
      <c r="K619" t="inlineStr">
        <is>
          <t>임대업; 부동산 제외</t>
        </is>
      </c>
      <c r="L619" t="inlineStr">
        <is>
          <t>0</t>
        </is>
      </c>
      <c r="M619" s="3" t="n">
        <v>0.595</v>
      </c>
      <c r="N619" t="inlineStr">
        <is>
          <t>중립</t>
        </is>
      </c>
    </row>
    <row r="620">
      <c r="A620" s="1" t="inlineStr">
        <is>
          <t>2021-04-26</t>
        </is>
      </c>
      <c r="B620" t="inlineStr">
        <is>
          <t>news</t>
        </is>
      </c>
      <c r="C620" t="inlineStr">
        <is>
          <t>economy</t>
        </is>
      </c>
      <c r="D620" t="inlineStr">
        <is>
          <t>한국일보</t>
        </is>
      </c>
      <c r="E620" t="inlineStr">
        <is>
          <t>송옥진</t>
        </is>
      </c>
      <c r="F620" t="inlineStr">
        <is>
          <t>배출가스 없는 전기차, 환경인증은 어떻게?</t>
        </is>
      </c>
      <c r="G620" s="2">
        <f>HYPERLINK("https://hankookilbo.com/News/Read/A2021042502270003603?did=NA", "Go to Website")</f>
        <v/>
      </c>
      <c r="H620" t="inlineStr"/>
      <c r="I620" t="inlineStr">
        <is>
          <t>C30</t>
        </is>
      </c>
      <c r="J620" s="3" t="n">
        <v>0.855</v>
      </c>
      <c r="K620" t="inlineStr">
        <is>
          <t>자동차 및 트레일러 제조업</t>
        </is>
      </c>
      <c r="L620" t="inlineStr">
        <is>
          <t>0</t>
        </is>
      </c>
      <c r="M620" s="3" t="n">
        <v>0.992</v>
      </c>
      <c r="N620" t="inlineStr">
        <is>
          <t>중립</t>
        </is>
      </c>
    </row>
    <row r="621">
      <c r="A621" s="1" t="inlineStr">
        <is>
          <t>2021-04-26</t>
        </is>
      </c>
      <c r="B621" t="inlineStr">
        <is>
          <t>news</t>
        </is>
      </c>
      <c r="C621" t="inlineStr">
        <is>
          <t>economy</t>
        </is>
      </c>
      <c r="D621" t="inlineStr">
        <is>
          <t>한국일보</t>
        </is>
      </c>
      <c r="E621" t="inlineStr">
        <is>
          <t>송옥진</t>
        </is>
      </c>
      <c r="F621" t="inlineStr">
        <is>
          <t>전기차는 무조건 친환경? "폐배터리 3년 뒤 1만 개 쏟아진다"</t>
        </is>
      </c>
      <c r="G621" s="2">
        <f>HYPERLINK("https://hankookilbo.com/News/Read/A2021042500120002165?did=NA", "Go to Website")</f>
        <v/>
      </c>
      <c r="H621" t="inlineStr"/>
      <c r="I621" t="inlineStr">
        <is>
          <t>C28</t>
        </is>
      </c>
      <c r="J621" s="3" t="n">
        <v>0.763</v>
      </c>
      <c r="K621" t="inlineStr">
        <is>
          <t>전기장비 제조업</t>
        </is>
      </c>
      <c r="L621" t="inlineStr"/>
      <c r="M621" t="inlineStr"/>
      <c r="N621" t="inlineStr"/>
    </row>
    <row r="622">
      <c r="A622" s="1" t="inlineStr">
        <is>
          <t>2021-04-25</t>
        </is>
      </c>
      <c r="B622" t="inlineStr">
        <is>
          <t>news</t>
        </is>
      </c>
      <c r="C622" t="inlineStr">
        <is>
          <t>economy</t>
        </is>
      </c>
      <c r="D622" t="inlineStr">
        <is>
          <t>매일경제</t>
        </is>
      </c>
      <c r="E622" t="inlineStr">
        <is>
          <t>양연호</t>
        </is>
      </c>
      <c r="F622" t="inlineStr">
        <is>
          <t>자율주행차·플라잉카 오가는 '스마트 고속도로' 구현할 것 [CEO]</t>
        </is>
      </c>
      <c r="G622" s="2">
        <f>HYPERLINK("http://news.mk.co.kr/newsRead.php?no=397676&amp;year=2021", "Go to Website")</f>
        <v/>
      </c>
      <c r="H622" t="inlineStr"/>
      <c r="I622" t="inlineStr">
        <is>
          <t>F41</t>
        </is>
      </c>
      <c r="J622" s="3" t="n">
        <v>0.424</v>
      </c>
      <c r="K622" t="inlineStr">
        <is>
          <t>종합 건설업</t>
        </is>
      </c>
      <c r="L622" t="inlineStr">
        <is>
          <t>0</t>
        </is>
      </c>
      <c r="M622" s="3" t="n">
        <v>0.845</v>
      </c>
      <c r="N622" t="inlineStr">
        <is>
          <t>중립</t>
        </is>
      </c>
    </row>
    <row r="623">
      <c r="A623" s="1" t="inlineStr">
        <is>
          <t>2021-04-25</t>
        </is>
      </c>
      <c r="B623" t="inlineStr">
        <is>
          <t>news</t>
        </is>
      </c>
      <c r="C623" t="inlineStr">
        <is>
          <t>economy</t>
        </is>
      </c>
      <c r="D623" t="inlineStr">
        <is>
          <t>매일경제</t>
        </is>
      </c>
      <c r="E623" t="inlineStr">
        <is>
          <t>신수현</t>
        </is>
      </c>
      <c r="F623" t="inlineStr">
        <is>
          <t>폭발 위험 없고 저장 쉬운 고체수소 국내서 첫 양산</t>
        </is>
      </c>
      <c r="G623" s="2">
        <f>HYPERLINK("http://news.mk.co.kr/newsRead.php?no=397422&amp;year=2021", "Go to Website")</f>
        <v/>
      </c>
      <c r="H623" t="inlineStr"/>
      <c r="I623" t="inlineStr">
        <is>
          <t>C24</t>
        </is>
      </c>
      <c r="J623" s="3" t="n">
        <v>0.6830000000000001</v>
      </c>
      <c r="K623" t="inlineStr">
        <is>
          <t>1차 금속 제조업</t>
        </is>
      </c>
      <c r="L623" t="inlineStr">
        <is>
          <t>1</t>
        </is>
      </c>
      <c r="M623" s="3" t="n">
        <v>0.967</v>
      </c>
      <c r="N623" t="inlineStr">
        <is>
          <t>긍정</t>
        </is>
      </c>
    </row>
    <row r="624">
      <c r="A624" s="1" t="inlineStr">
        <is>
          <t>2021-04-25</t>
        </is>
      </c>
      <c r="B624" t="inlineStr">
        <is>
          <t>news</t>
        </is>
      </c>
      <c r="C624" t="inlineStr">
        <is>
          <t>economy</t>
        </is>
      </c>
      <c r="D624" t="inlineStr">
        <is>
          <t>아이뉴스24</t>
        </is>
      </c>
      <c r="E624" t="inlineStr">
        <is>
          <t>조석근</t>
        </is>
      </c>
      <c r="F624" t="inlineStr">
        <is>
          <t>정유업계 '주유소의 변신'…탄소중립 친환경 물결 영향</t>
        </is>
      </c>
      <c r="G624" s="2">
        <f>HYPERLINK("http://www.inews24.com/view/1361239", "Go to Website")</f>
        <v/>
      </c>
      <c r="H624" t="inlineStr"/>
      <c r="I624" t="inlineStr">
        <is>
          <t>100</t>
        </is>
      </c>
      <c r="J624" s="3" t="n">
        <v>0.336</v>
      </c>
      <c r="K624" t="inlineStr">
        <is>
          <t>분류 제외, 기타</t>
        </is>
      </c>
      <c r="L624" t="inlineStr">
        <is>
          <t>0</t>
        </is>
      </c>
      <c r="M624" s="3" t="n">
        <v>0.985</v>
      </c>
      <c r="N624" t="inlineStr">
        <is>
          <t>중립</t>
        </is>
      </c>
    </row>
    <row r="625">
      <c r="A625" s="1" t="inlineStr">
        <is>
          <t>2021-04-25</t>
        </is>
      </c>
      <c r="B625" t="inlineStr">
        <is>
          <t>news</t>
        </is>
      </c>
      <c r="C625" t="inlineStr">
        <is>
          <t>economy</t>
        </is>
      </c>
      <c r="D625" t="inlineStr">
        <is>
          <t>이데일리</t>
        </is>
      </c>
      <c r="E625" t="inlineStr">
        <is>
          <t>최정희</t>
        </is>
      </c>
      <c r="F625" t="inlineStr">
        <is>
          <t>현대경제硏, 올 성장률 전망 3.5%로 상향..'상저하고' 전망</t>
        </is>
      </c>
      <c r="G625" s="2">
        <f>HYPERLINK("http://www.edaily.co.kr/news/newspath.asp?newsid=01613766629019728", "Go to Website")</f>
        <v/>
      </c>
      <c r="H625" t="inlineStr"/>
      <c r="I625" t="inlineStr">
        <is>
          <t>C21</t>
        </is>
      </c>
      <c r="J625" s="3" t="n">
        <v>0.458</v>
      </c>
      <c r="K625" t="inlineStr">
        <is>
          <t>의료용 물질 및 의약품 제조업</t>
        </is>
      </c>
      <c r="L625" t="inlineStr"/>
      <c r="M625" t="inlineStr"/>
      <c r="N625" t="inlineStr"/>
    </row>
    <row r="626">
      <c r="A626" s="1" t="inlineStr">
        <is>
          <t>2021-04-24</t>
        </is>
      </c>
      <c r="B626" t="inlineStr">
        <is>
          <t>news</t>
        </is>
      </c>
      <c r="C626" t="inlineStr">
        <is>
          <t>economy</t>
        </is>
      </c>
      <c r="D626" t="inlineStr">
        <is>
          <t>미디어오늘</t>
        </is>
      </c>
      <c r="E626" t="inlineStr"/>
      <c r="F626" t="inlineStr">
        <is>
          <t>[홍석만의 경제 매뉴얼] 문재인 정부 '소주성'이라더니 바이든 미 행정부는?</t>
        </is>
      </c>
      <c r="G626" s="2">
        <f>HYPERLINK("http://www.mediatoday.co.kr/news/articleView.html?idxno=213018", "Go to Website")</f>
        <v/>
      </c>
      <c r="H626" t="inlineStr"/>
      <c r="I626" t="inlineStr">
        <is>
          <t>C15</t>
        </is>
      </c>
      <c r="J626" s="3" t="n">
        <v>0.364</v>
      </c>
      <c r="K626" t="inlineStr">
        <is>
          <t>가죽, 가방 및 신발 제조업</t>
        </is>
      </c>
      <c r="L626" t="inlineStr"/>
      <c r="M626" t="inlineStr"/>
      <c r="N626" t="inlineStr"/>
    </row>
    <row r="627">
      <c r="A627" s="1" t="inlineStr">
        <is>
          <t>2021-04-24</t>
        </is>
      </c>
      <c r="B627" t="inlineStr">
        <is>
          <t>news</t>
        </is>
      </c>
      <c r="C627" t="inlineStr">
        <is>
          <t>economy</t>
        </is>
      </c>
      <c r="D627" t="inlineStr">
        <is>
          <t>SBS</t>
        </is>
      </c>
      <c r="E627" t="inlineStr">
        <is>
          <t>이성훈</t>
        </is>
      </c>
      <c r="F627" t="inlineStr">
        <is>
          <t>친환경차 증가에 줄줄이 폐업…주유소, 변신 나선다</t>
        </is>
      </c>
      <c r="G627" s="2">
        <f>HYPERLINK("https://news.sbs.co.kr/news/endPage.do?news_id=N1006294358", "Go to Website")</f>
        <v/>
      </c>
      <c r="H627" t="inlineStr"/>
      <c r="I627" t="inlineStr">
        <is>
          <t>C14</t>
        </is>
      </c>
      <c r="J627" s="3" t="n">
        <v>0.793</v>
      </c>
      <c r="K627" t="inlineStr">
        <is>
          <t>의복, 의복 액세서리 및 모피제품 제조업</t>
        </is>
      </c>
      <c r="L627" t="inlineStr"/>
      <c r="M627" t="inlineStr"/>
      <c r="N627" t="inlineStr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2021-05-24T02:58:41Z</dcterms:created>
  <dcterms:modified xsi:type="dcterms:W3CDTF">2021-05-24T02:58:41Z</dcterms:modified>
</cp:coreProperties>
</file>