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D:\[02] Projects\[01] portfolio-projects\excel\HealthMax\"/>
    </mc:Choice>
  </mc:AlternateContent>
  <xr:revisionPtr revIDLastSave="0" documentId="13_ncr:1_{9E4CEB9B-F0C4-44E8-9C2D-687EE932F41A}" xr6:coauthVersionLast="47" xr6:coauthVersionMax="47" xr10:uidLastSave="{00000000-0000-0000-0000-000000000000}"/>
  <bookViews>
    <workbookView xWindow="-120" yWindow="-120" windowWidth="29040" windowHeight="15720" tabRatio="827" firstSheet="6" activeTab="7" xr2:uid="{5BBF3846-4C6D-4871-B649-C959D40EA238}"/>
  </bookViews>
  <sheets>
    <sheet name="Brands per Supplier" sheetId="3" r:id="rId1"/>
    <sheet name="HealthMax Growth" sheetId="4" r:id="rId2"/>
    <sheet name="MAT Value Total Category" sheetId="6" r:id="rId3"/>
    <sheet name="Market Share" sheetId="7" r:id="rId4"/>
    <sheet name="Promotion Analysis" sheetId="15" r:id="rId5"/>
    <sheet name="Promotion Graph" sheetId="13" r:id="rId6"/>
    <sheet name="Forecast 2024" sheetId="19" r:id="rId7"/>
    <sheet name="Waterfall" sheetId="20" r:id="rId8"/>
    <sheet name="Sales until 2022" sheetId="17" r:id="rId9"/>
    <sheet name="External Data" sheetId="2" r:id="rId10"/>
    <sheet name="Profitability Matrix" sheetId="9" r:id="rId11"/>
    <sheet name="Internal Sales Data" sheetId="8" r:id="rId12"/>
    <sheet name="50ml Shampoo 2024" sheetId="12" r:id="rId13"/>
    <sheet name="New Category Opportunity" sheetId="10" r:id="rId14"/>
    <sheet name="Organic Shampoo Launch" sheetId="11" r:id="rId15"/>
  </sheets>
  <definedNames>
    <definedName name="_xlchart.v1.0" hidden="1">Waterfall!$A$1:$E$1</definedName>
    <definedName name="_xlchart.v1.1" hidden="1">Waterfall!$A$2:$E$2</definedName>
    <definedName name="_xlchart.v1.10" hidden="1">Waterfall!$A$1:$E$1</definedName>
    <definedName name="_xlchart.v1.11" hidden="1">Waterfall!$A$2:$E$2</definedName>
    <definedName name="_xlchart.v1.12" hidden="1">Waterfall!$A$1:$E$1</definedName>
    <definedName name="_xlchart.v1.13" hidden="1">Waterfall!$A$2:$E$2</definedName>
    <definedName name="_xlchart.v1.14" hidden="1">Waterfall!$A$1:$E$1</definedName>
    <definedName name="_xlchart.v1.15" hidden="1">Waterfall!$A$2:$E$2</definedName>
    <definedName name="_xlchart.v1.16" hidden="1">Waterfall!$A$1:$E$1</definedName>
    <definedName name="_xlchart.v1.17" hidden="1">Waterfall!$A$2:$E$2</definedName>
    <definedName name="_xlchart.v1.18" hidden="1">Waterfall!$A$1:$E$1</definedName>
    <definedName name="_xlchart.v1.19" hidden="1">Waterfall!$A$2:$E$2</definedName>
    <definedName name="_xlchart.v1.2" hidden="1">Waterfall!$A$1:$E$1</definedName>
    <definedName name="_xlchart.v1.20" hidden="1">Waterfall!$A$1:$E$1</definedName>
    <definedName name="_xlchart.v1.21" hidden="1">Waterfall!$A$2:$E$2</definedName>
    <definedName name="_xlchart.v1.3" hidden="1">Waterfall!$A$2:$E$2</definedName>
    <definedName name="_xlchart.v1.4" hidden="1">Waterfall!$A$1:$E$1</definedName>
    <definedName name="_xlchart.v1.5" hidden="1">Waterfall!$A$2:$E$2</definedName>
    <definedName name="_xlchart.v1.6" hidden="1">Waterfall!$A$1:$E$1</definedName>
    <definedName name="_xlchart.v1.7" hidden="1">Waterfall!$A$2:$E$2</definedName>
    <definedName name="_xlchart.v1.8" hidden="1">Waterfall!$A$1:$E$1</definedName>
    <definedName name="_xlchart.v1.9" hidden="1">Waterfall!$A$2:$E$2</definedName>
    <definedName name="ExternalData_1" localSheetId="4" hidden="1">'Promotion Analysis'!$A$1:$J$4</definedName>
    <definedName name="Slicer_Region">#N/A</definedName>
  </definedNames>
  <calcPr calcId="191029"/>
  <pivotCaches>
    <pivotCache cacheId="0" r:id="rId16"/>
    <pivotCache cacheId="4"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C2" i="20" l="1"/>
  <c r="D2" i="20"/>
  <c r="B2" i="20"/>
  <c r="A2" i="20"/>
  <c r="F8" i="19"/>
  <c r="F7" i="19"/>
  <c r="G6" i="19"/>
  <c r="F6" i="19"/>
  <c r="J3" i="15" l="1"/>
  <c r="J4" i="15"/>
  <c r="J2" i="15"/>
  <c r="H3" i="15"/>
  <c r="H4" i="15"/>
  <c r="H2" i="15"/>
  <c r="G3" i="15"/>
  <c r="G4" i="15"/>
  <c r="G2" i="15"/>
  <c r="F3" i="15"/>
  <c r="F4" i="15"/>
  <c r="F2" i="15"/>
  <c r="C7" i="19"/>
  <c r="C8" i="19"/>
  <c r="H12" i="12" l="1"/>
  <c r="E12" i="12"/>
  <c r="M12" i="12" s="1"/>
  <c r="I12" i="12"/>
  <c r="J12" i="12"/>
  <c r="K12" i="12" s="1"/>
  <c r="M2" i="12"/>
  <c r="M3" i="12"/>
  <c r="M4" i="12"/>
  <c r="M5" i="12"/>
  <c r="M6" i="12"/>
  <c r="M7" i="12"/>
  <c r="M8" i="12"/>
  <c r="M9" i="12"/>
  <c r="M10" i="12"/>
  <c r="M11" i="12"/>
  <c r="J11" i="12"/>
  <c r="L11" i="12" s="1"/>
  <c r="I11" i="12"/>
  <c r="J10" i="12"/>
  <c r="L10" i="12" s="1"/>
  <c r="I10" i="12"/>
  <c r="J9" i="12"/>
  <c r="K9" i="12" s="1"/>
  <c r="I9" i="12"/>
  <c r="J8" i="12"/>
  <c r="L8" i="12" s="1"/>
  <c r="I8" i="12"/>
  <c r="J7" i="12"/>
  <c r="L7" i="12" s="1"/>
  <c r="I7" i="12"/>
  <c r="J6" i="12"/>
  <c r="L6" i="12" s="1"/>
  <c r="I6" i="12"/>
  <c r="J5" i="12"/>
  <c r="K5" i="12" s="1"/>
  <c r="I5" i="12"/>
  <c r="J4" i="12"/>
  <c r="L4" i="12" s="1"/>
  <c r="I4" i="12"/>
  <c r="J3" i="12"/>
  <c r="L3" i="12" s="1"/>
  <c r="I3" i="12"/>
  <c r="J2" i="12"/>
  <c r="L2" i="12" s="1"/>
  <c r="I2" i="12"/>
  <c r="C4" i="11"/>
  <c r="E4" i="11" s="1"/>
  <c r="G4" i="11"/>
  <c r="H2" i="11"/>
  <c r="I2" i="11" s="1"/>
  <c r="G3" i="11"/>
  <c r="G2" i="11"/>
  <c r="E2" i="11"/>
  <c r="C2" i="11"/>
  <c r="C3" i="11"/>
  <c r="E3" i="11" s="1"/>
  <c r="B18" i="10"/>
  <c r="E8" i="19"/>
  <c r="D8" i="19"/>
  <c r="E7" i="19"/>
  <c r="D7" i="19"/>
  <c r="L12" i="12" l="1"/>
  <c r="K10" i="12"/>
  <c r="K6" i="12"/>
  <c r="L9" i="12"/>
  <c r="K2" i="12"/>
  <c r="L5" i="12"/>
  <c r="K3" i="12"/>
  <c r="K7" i="12"/>
  <c r="K11" i="12"/>
  <c r="K4" i="12"/>
  <c r="K8" i="12"/>
  <c r="H4" i="11"/>
  <c r="I4" i="11" s="1"/>
  <c r="H3" i="11"/>
  <c r="I3" i="11" s="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K11" i="8" l="1"/>
  <c r="L9" i="8"/>
  <c r="K8" i="8"/>
  <c r="K7" i="8"/>
  <c r="L6" i="8"/>
  <c r="K3" i="8"/>
  <c r="L5" i="8"/>
  <c r="L2" i="8"/>
  <c r="L10" i="8"/>
  <c r="K12" i="8"/>
  <c r="L12" i="8" s="1"/>
  <c r="I12"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0FBB9A-4747-41A2-AEA6-87853689DEC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<sst xmlns="http://schemas.openxmlformats.org/spreadsheetml/2006/main" count="22436" uniqueCount="127">
  <si>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</si>
  <si>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</si>
  <si>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</si>
  <si>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</si>
  <si>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</si>
  <si>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</si>
  <si>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</si>
  <si>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</si>
  <si>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</si>
  <si>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</si>
  <si>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</si>
  <si>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</si>
  <si>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</si>
  <si>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</si>
  <si>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</si>
  <si>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</si>
  <si>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</si>
  <si>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</si>
  <si>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</si>
  <si>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</si>
  <si>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</si>
  <si>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</si>
  <si>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</si>
  <si>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</si>
  <si>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</si>
  <si>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</si>
  <si>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</si>
  <si>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</si>
  <si>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</si>
  <si>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</si>
  <si>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</si>
  <si>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</si>
  <si>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</si>
  <si>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</si>
  <si>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</si>
  <si>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</si>
  <si>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</si>
  <si>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</si>
  <si>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</si>
  <si>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</si>
  <si>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</si>
  <si>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</si>
  <si>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</si>
  <si>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</si>
  <si>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</si>
  <si>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</si>
  <si>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</si>
  <si>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</si>
  <si>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</si>
  <si>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</si>
  <si>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</si>
  <si>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</si>
  <si>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</si>
  <si>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</si>
  <si>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</si>
  <si>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</si>
  <si>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</si>
  <si>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</si>
  <si>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</si>
  <si>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</si>
  <si>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</si>
  <si>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</si>
  <si>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</si>
  <si>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</si>
  <si>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</si>
  <si>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</si>
  <si>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</si>
  <si>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</si>
  <si>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</si>
  <si>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</si>
  <si>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</si>
  <si>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</si>
  <si>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</si>
  <si>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</si>
  <si>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</si>
  <si>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</si>
  <si>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</si>
  <si>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</si>
  <si>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</si>
  <si>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</si>
  <si>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</si>
  <si>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</si>
  <si>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</si>
  <si>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</si>
  <si>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</si>
  <si>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</si>
  <si>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</si>
  <si>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</si>
  <si>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</si>
  <si>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</si>
  <si>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</si>
  <si>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</si>
  <si>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</si>
  <si>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</si>
  <si>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</si>
  <si>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</si>
  <si>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</si>
  <si>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</si>
  <si>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</si>
  <si>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Net Sales 2022</t>
  </si>
  <si>
    <t>Estimated Unit Market Share</t>
  </si>
  <si>
    <t>Estimated units sold 2024</t>
  </si>
  <si>
    <t>Net Sales</t>
  </si>
  <si>
    <t>HerbEssentials</t>
  </si>
  <si>
    <t>Herbashine</t>
  </si>
  <si>
    <t>FA</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</si>
  <si>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</si>
  <si>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</si>
  <si>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</si>
  <si>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</si>
  <si>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</si>
  <si>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</si>
  <si>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</si>
  <si>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</si>
  <si>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</si>
  <si>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</si>
  <si>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</si>
  <si>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</si>
  <si>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Lower Confidence Bound(Sum of Values Month)</t>
  </si>
  <si>
    <t>Upper Confidence Bound(Sum of Values Month)</t>
  </si>
  <si>
    <t>Ratio</t>
  </si>
  <si>
    <t>Forecast</t>
  </si>
  <si>
    <t>Estimated net sales 2024</t>
  </si>
  <si>
    <t>50ml shampoo</t>
  </si>
  <si>
    <t>Estimated net sales 2023</t>
  </si>
  <si>
    <t> Natural growth</t>
  </si>
  <si>
    <t>Organic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</si>
</sst>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R-1C09]* #,##0.00_-;\-[$R-1C09]* #,##0.00_-;_-[$R-1C09]* &quot;-&quot;??_-;_-@_-"/>
    <numFmt numFmtId="172" formatCode="_-[$$-409]* #,##0.000_ ;_-[$$-409]* \-#,##0.000\ ;_-[$$-409]* &quot;-&quot;??_ ;_-@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05192D"/>
      <name val="Calibri Light"/>
      <family val="2"/>
      <scheme val="major"/>
    </font>
    <font>
      <b/>
      <sz val="11"/>
      <color theme="1"/>
      <name val="Calibri Light"/>
      <family val="2"/>
      <scheme val="maj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5" fontId="0" fillId="0" borderId="0" xfId="2" applyFont="1"/>
    <xf numFmtId="171" fontId="0" fillId="0" borderId="0" xfId="0" applyNumberFormat="1"/>
    <xf numFmtId="43" fontId="0" fillId="0" borderId="0" xfId="0" applyNumberFormat="1"/>
    <xf numFmtId="172" fontId="0" fillId="0" borderId="0" xfId="0" applyNumberFormat="1"/>
    <xf numFmtId="0" fontId="0" fillId="0" borderId="0" xfId="0" applyNumberFormat="1"/>
    <xf numFmtId="9" fontId="0" fillId="0" borderId="0" xfId="3" applyNumberFormat="1" applyFont="1"/>
    <xf numFmtId="0" fontId="0" fillId="0" borderId="0" xfId="0" applyFont="1"/>
    <xf numFmtId="166" fontId="0" fillId="0" borderId="0" xfId="0" applyNumberFormat="1" applyFont="1"/>
    <xf numFmtId="0" fontId="3" fillId="0" borderId="0" xfId="0" applyFont="1"/>
    <xf numFmtId="0" fontId="4" fillId="0" borderId="0" xfId="0" applyFont="1"/>
  </cellXfs>
  <cellStyles count="4">
    <cellStyle name="Comma" xfId="2" builtinId="3"/>
    <cellStyle name="Currency" xfId="1" builtinId="4"/>
    <cellStyle name="Normal" xfId="0" builtinId="0"/>
    <cellStyle name="Percent" xfId="3" builtinId="5"/>
  </cellStyles>
  <dxfs count="71">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3" formatCode="0%"/>
    </dxf>
    <dxf>
      <numFmt numFmtId="169" formatCode="_-[$$-409]* #,##0.00_ ;_-[$$-409]* \-#,##0.00\ ;_-[$$-409]* &quot;-&quot;??_ ;_-@_ "/>
    </dxf>
    <dxf>
      <numFmt numFmtId="0" formatCode="General"/>
    </dxf>
    <dxf>
      <numFmt numFmtId="166" formatCode="_-[$$-409]* #,##0_ ;_-[$$-409]* \-#,##0\ ;_-[$$-409]* &quot;-&quot;??_ ;_-@_ "/>
    </dxf>
    <dxf>
      <numFmt numFmtId="166" formatCode="_-[$$-409]* #,##0_ ;_-[$$-409]* \-#,##0\ ;_-[$$-409]* &quot;-&quot;??_ ;_-@_ "/>
    </dxf>
    <dxf>
      <numFmt numFmtId="0" formatCode="General"/>
    </dxf>
    <dxf>
      <numFmt numFmtId="0" formatCode="General"/>
    </dxf>
    <dxf>
      <numFmt numFmtId="169" formatCode="_-[$$-409]* #,##0.00_ ;_-[$$-409]* \-#,##0.00\ ;_-[$$-409]* &quot;-&quot;??_ ;_-@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5" formatCode="_ * #,##0.00_ ;_ * \-#,##0.00_ ;_ * &quot;-&quot;??_ ;_ @_ "/>
    </dxf>
    <dxf>
      <numFmt numFmtId="0" formatCode="General"/>
    </dxf>
    <dxf>
      <numFmt numFmtId="167" formatCode="_ * #,##0_ ;_ * \-#,##0_ ;_ * &quot;-&quot;??_ ;_ @_ "/>
    </dxf>
    <dxf>
      <numFmt numFmtId="13" formatCode="0%"/>
    </dxf>
    <dxf>
      <numFmt numFmtId="13" formatCode="0%"/>
    </dxf>
    <dxf>
      <numFmt numFmtId="14" formatCode="0.00%"/>
    </dxf>
    <dxf>
      <numFmt numFmtId="172"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[net-revenue-management.xlsx]Market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[net-revenue-management.xlsx]Promotion Graph!PivotTable4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400" b="0" i="0" u="none" strike="noStrike" baseline="0">
                <a:effectLst/>
              </a:rPr>
              <a:t>Shinez Value Sales 2022</a:t>
            </a:r>
            <a:endParaRPr lang="en-Z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Z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AC9-459D-B1EB-1FA7AA3B592B}"/>
            </c:ext>
          </c:extLst>
        </c:ser>
        <c:dLbls>
          <c:showLegendKey val="0"/>
          <c:showVal val="0"/>
          <c:showCatName val="0"/>
          <c:showSerName val="0"/>
          <c:showPercent val="0"/>
          <c:showBubbleSize val="0"/>
        </c:dLbls>
        <c:smooth val="0"/>
        <c:axId val="150042463"/>
        <c:axId val="150043903"/>
      </c:lineChart>
      <c:catAx>
        <c:axId val="150042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3903"/>
        <c:crosses val="autoZero"/>
        <c:auto val="1"/>
        <c:lblAlgn val="ctr"/>
        <c:lblOffset val="100"/>
        <c:noMultiLvlLbl val="0"/>
      </c:catAx>
      <c:valAx>
        <c:axId val="15004390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42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Sum of Values Month</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30D6-4912-B889-8695A10FD28C}"/>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30D6-4912-B889-8695A10FD28C}"/>
            </c:ext>
          </c:extLst>
        </c:ser>
        <c:ser>
          <c:idx val="2"/>
          <c:order val="2"/>
          <c:tx>
            <c:strRef>
              <c:f>'Forecast 2024'!$D$1</c:f>
              <c:strCache>
                <c:ptCount val="1"/>
                <c:pt idx="0">
                  <c:v>Lower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30D6-4912-B889-8695A10FD28C}"/>
            </c:ext>
          </c:extLst>
        </c:ser>
        <c:ser>
          <c:idx val="3"/>
          <c:order val="3"/>
          <c:tx>
            <c:strRef>
              <c:f>'Forecast 2024'!$E$1</c:f>
              <c:strCache>
                <c:ptCount val="1"/>
                <c:pt idx="0">
                  <c:v>Upper Confidence Bound(Sum of Values Month)</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30D6-4912-B889-8695A10FD28C}"/>
            </c:ext>
          </c:extLst>
        </c:ser>
        <c:dLbls>
          <c:showLegendKey val="0"/>
          <c:showVal val="0"/>
          <c:showCatName val="0"/>
          <c:showSerName val="0"/>
          <c:showPercent val="0"/>
          <c:showBubbleSize val="0"/>
        </c:dLbls>
        <c:smooth val="0"/>
        <c:axId val="940100272"/>
        <c:axId val="940101232"/>
      </c:lineChart>
      <c:catAx>
        <c:axId val="940100272"/>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01232"/>
        <c:crosses val="autoZero"/>
        <c:auto val="1"/>
        <c:lblAlgn val="ctr"/>
        <c:lblOffset val="100"/>
        <c:noMultiLvlLbl val="0"/>
      </c:catAx>
      <c:valAx>
        <c:axId val="940101232"/>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0100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_xlchart.v1.6</cx:f>
      </cx:strDim>
      <cx:numDim type="val">
        <cx:f dir="row">_xlchart.v1.7</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5D1D24A-08F9-4677-B128-99BA55C62121}">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114301</xdr:colOff>
      <xdr:row>0</xdr:row>
      <xdr:rowOff>28575</xdr:rowOff>
    </xdr:from>
    <xdr:to>
      <xdr:col>11</xdr:col>
      <xdr:colOff>228600</xdr:colOff>
      <xdr:row>20</xdr:row>
      <xdr:rowOff>152400</xdr:rowOff>
    </xdr:to>
    <xdr:graphicFrame macro="">
      <xdr:nvGraphicFramePr>
        <xdr:cNvPr id="2" name="Chart 1">
          <a:extLst>
            <a:ext uri="{FF2B5EF4-FFF2-40B4-BE49-F238E27FC236}">
              <a16:creationId xmlns:a16="http://schemas.microsoft.com/office/drawing/2014/main" id="{FFB949AD-F039-FC42-DD37-301AAA4072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847724</xdr:colOff>
      <xdr:row>9</xdr:row>
      <xdr:rowOff>100011</xdr:rowOff>
    </xdr:from>
    <xdr:to>
      <xdr:col>4</xdr:col>
      <xdr:colOff>1038224</xdr:colOff>
      <xdr:row>30</xdr:row>
      <xdr:rowOff>28574</xdr:rowOff>
    </xdr:to>
    <xdr:graphicFrame macro="">
      <xdr:nvGraphicFramePr>
        <xdr:cNvPr id="2" name="Chart 1">
          <a:extLst>
            <a:ext uri="{FF2B5EF4-FFF2-40B4-BE49-F238E27FC236}">
              <a16:creationId xmlns:a16="http://schemas.microsoft.com/office/drawing/2014/main" id="{0A16792A-AF55-2F45-AA12-1E8C9FAB5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71436</xdr:rowOff>
    </xdr:from>
    <xdr:to>
      <xdr:col>5</xdr:col>
      <xdr:colOff>190499</xdr:colOff>
      <xdr:row>24</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6E00030-A6E8-6DA5-C209-B4217EB1E7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452436"/>
              <a:ext cx="7219949" cy="4214814"/>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69">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E175C2-D63E-4C1F-8FE8-449742B70A03}"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66"/>
  </dataFields>
  <chartFormats count="13">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 chart="7" format="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5"/>
          </reference>
        </references>
      </pivotArea>
    </chartFormat>
    <chartFormat chart="7" format="6" series="1">
      <pivotArea type="data" outline="0" fieldPosition="0">
        <references count="2">
          <reference field="4294967294" count="1" selected="0">
            <x v="0"/>
          </reference>
          <reference field="6" count="1" selected="0">
            <x v="6"/>
          </reference>
        </references>
      </pivotArea>
    </chartFormat>
    <chartFormat chart="7" format="7" series="1">
      <pivotArea type="data" outline="0" fieldPosition="0">
        <references count="2">
          <reference field="4294967294" count="1" selected="0">
            <x v="0"/>
          </reference>
          <reference field="6" count="1" selected="0">
            <x v="7"/>
          </reference>
        </references>
      </pivotArea>
    </chartFormat>
    <chartFormat chart="7" format="8" series="1">
      <pivotArea type="data" outline="0" fieldPosition="0">
        <references count="2">
          <reference field="4294967294" count="1" selected="0">
            <x v="0"/>
          </reference>
          <reference field="6" count="1" selected="0">
            <x v="8"/>
          </reference>
        </references>
      </pivotArea>
    </chartFormat>
    <chartFormat chart="7" format="9" series="1">
      <pivotArea type="data" outline="0" fieldPosition="0">
        <references count="2">
          <reference field="4294967294" count="1" selected="0">
            <x v="0"/>
          </reference>
          <reference field="6" count="1" selected="0">
            <x v="9"/>
          </reference>
        </references>
      </pivotArea>
    </chartFormat>
    <chartFormat chart="7" format="10" series="1">
      <pivotArea type="data" outline="0" fieldPosition="0">
        <references count="2">
          <reference field="4294967294" count="1" selected="0">
            <x v="0"/>
          </reference>
          <reference field="6" count="1" selected="0">
            <x v="10"/>
          </reference>
        </references>
      </pivotArea>
    </chartFormat>
    <chartFormat chart="7" format="11" series="1">
      <pivotArea type="data" outline="0" fieldPosition="0">
        <references count="2">
          <reference field="4294967294" count="1" selected="0">
            <x v="0"/>
          </reference>
          <reference field="6" count="1" selected="0">
            <x v="11"/>
          </reference>
        </references>
      </pivotArea>
    </chartFormat>
    <chartFormat chart="7"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12330F-7B72-4297-B912-4E87D654836C}"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5:B10"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20">
      <pivotArea outline="0" collapsedLevelsAreSubtotals="1" fieldPosition="0">
        <references count="1">
          <reference field="5" count="1" selected="0">
            <x v="4"/>
          </reference>
        </references>
      </pivotArea>
    </format>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22">
      <pivotArea outline="0" fieldPosition="0">
        <references count="1">
          <reference field="4294967294" count="1">
            <x v="0"/>
          </reference>
        </references>
      </pivotArea>
    </format>
    <format dxfId="21">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FD0E05-6777-49AB-AAC1-2B6AA4DB228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900318-1ACE-491B-AD63-A17C15B07AC3}" name="promotion_analysis" displayName="promotion_analysis" ref="A1:J4" tableType="queryTable" totalsRowShown="0">
  <autoFilter ref="A1:J4" xr:uid="{A2900318-1ACE-491B-AD63-A17C15B07AC3}"/>
  <tableColumns count="10">
    <tableColumn id="1" xr3:uid="{CC090E1C-CC50-4B9A-A6E4-A4EDD713D8FE}" uniqueName="1" name="Promotion " queryTableFieldId="1"/>
    <tableColumn id="2" xr3:uid="{BCD235C6-D1EC-4B27-A4A5-27DC46D4A03F}" uniqueName="2" name="Mechanism" queryTableFieldId="2" dataDxfId="11"/>
    <tableColumn id="3" xr3:uid="{5436E790-99D5-4963-AFF9-D645A4B6775C}" uniqueName="3" name="Brand" queryTableFieldId="3" dataDxfId="10"/>
    <tableColumn id="4" xr3:uid="{6316297C-B863-4427-93E5-7C081289DC84}" uniqueName="4" name="Year" queryTableFieldId="4"/>
    <tableColumn id="5" xr3:uid="{A74D5764-1EE5-45F8-8D72-10D2D809490B}" uniqueName="5" name="Month" queryTableFieldId="5"/>
    <tableColumn id="6" xr3:uid="{F1126765-4C7A-4D60-A41E-AB2AD5D704F9}" uniqueName="6" name="Value sales" queryTableFieldId="6" dataDxfId="8"/>
    <tableColumn id="7" xr3:uid="{70271A78-D5D8-44A2-A745-A82C43B462CF}" uniqueName="7" name="Baseline sales " queryTableFieldId="7" dataDxfId="9"/>
    <tableColumn id="8" xr3:uid="{5179E530-F6C5-4E46-91CC-EDA480F8AADB}" uniqueName="8" name="Uplift" queryTableFieldId="8" dataDxfId="7"/>
    <tableColumn id="9" xr3:uid="{622D2BD9-D55C-4674-BCB9-6FDEB4DB87A8}" uniqueName="9" name="Costs" queryTableFieldId="9" dataDxfId="6"/>
    <tableColumn id="10" xr3:uid="{AF6B5207-64F6-4B2A-A173-7494AEE7DD95}" uniqueName="10" name="ROI" queryTableFieldId="10" dataDxfId="5"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93EBF90-38E6-4ACF-9C8E-2A40483C25D6}" name="Table6" displayName="Table6" ref="A1:G8" totalsRowShown="0">
  <autoFilter ref="A1:G8" xr:uid="{793EBF90-38E6-4ACF-9C8E-2A40483C25D6}"/>
  <tableColumns count="7">
    <tableColumn id="1" xr3:uid="{7049CB67-A346-4760-89BA-974508207A69}" name="Row Labels"/>
    <tableColumn id="2" xr3:uid="{AAF2DBAD-E5C0-4E58-98F5-B00FF9A0A803}" name="Sum of Values Month" dataDxfId="4"/>
    <tableColumn id="3" xr3:uid="{6AB33BDB-5034-4FAC-9FD0-D91576926235}" name="Forecast" dataDxfId="3"/>
    <tableColumn id="4" xr3:uid="{D48FDB76-848A-4AD5-BD2C-5ECD68797E67}" name="Lower Confidence Bound(Sum of Values Month)" dataDxfId="2"/>
    <tableColumn id="5" xr3:uid="{37F45710-EF18-44EE-9EE5-16472C99895A}" name="Upper Confidence Bound(Sum of Values Month)" dataDxfId="1"/>
    <tableColumn id="6" xr3:uid="{E37833DE-E742-4B4E-9407-11C3FF11B607}" name="Net Sales" dataDxfId="0">
      <calculatedColumnFormula>internal_sales_data[[#Totals],[Net Sales 2022]]</calculatedColumnFormula>
    </tableColumn>
    <tableColumn id="7" xr3:uid="{C5825314-8878-4B22-9756-9D3D6F6B0A0D}" name="Ratio" dataCellStyle="Percent">
      <calculatedColumnFormula>Table6[[#This Row],[Net Sales]]/Table6[[#This Row],[Sum of Values Month]]</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68"/>
    <tableColumn id="2" xr3:uid="{E62B3F1F-9A15-44B4-B1DD-CAF27CF3C747}" name="Subcategory" dataDxfId="67"/>
    <tableColumn id="3" xr3:uid="{FA4BBA42-4CD5-4FEC-99C8-F3DEA363596F}" name="Supplier" dataDxfId="66"/>
    <tableColumn id="4" xr3:uid="{363950AD-92F1-4B62-BAD5-6C6ED9D314C8}" name="Brand" dataDxfId="65"/>
    <tableColumn id="5" xr3:uid="{278D3098-9E4F-422C-8E1A-9941BBC3EF43}" name="Region" dataDxfId="6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1">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59"/>
    <tableColumn id="2" xr3:uid="{025C4312-31D3-409B-B984-DBF4AEFE2FA6}" name="Product" dataDxfId="58"/>
    <tableColumn id="3" xr3:uid="{D40B8F72-DA12-4584-B326-495AA00C251F}" name="Pack Size (ml)"/>
    <tableColumn id="4" xr3:uid="{E106DA15-1281-4518-AE4A-C358C1924FEA}" name="ProductID" dataDxfId="57"/>
    <tableColumn id="5" xr3:uid="{AE844CDE-AAF3-4312-96B5-E0534EF567F3}" name="Retail Price" dataDxfId="56" totalsRowDxfId="55" dataCellStyle="Currency"/>
    <tableColumn id="6" xr3:uid="{732BB0A7-0D20-404F-B2AF-EC6A28C2A71A}" name="Net Price" dataDxfId="54" totalsRowDxfId="53" dataCellStyle="Currency"/>
    <tableColumn id="7" xr3:uid="{BB7F7A5B-FAB9-4038-AD33-08EE0D4766AD}" name="COGS" dataDxfId="52" totalsRowDxfId="51" dataCellStyle="Currency"/>
    <tableColumn id="8" xr3:uid="{CCF364DE-01EF-4200-AB41-ED9058D076B5}" name="Volume 2022" totalsRowFunction="sum" dataDxfId="50" totalsRowDxfId="49" dataCellStyle="Comma"/>
    <tableColumn id="10" xr3:uid="{08E3A2F7-3C74-49D9-91B9-79AD4050A4A7}" name="Net Sales 2022" totalsRowFunction="sum" dataDxfId="48" totalsRowDxfId="47" dataCellStyle="Currency">
      <calculatedColumnFormula>internal_sales_data[[#This Row],[Volume 2022]]*internal_sales_data[[#This Row],[Net Price]]</calculatedColumnFormula>
    </tableColumn>
    <tableColumn id="9" xr3:uid="{3C283A83-C2B7-4006-B2BA-AFEDB11C31BE}" name="Gross Profit per unit" dataDxfId="46" totalsRowDxfId="45" dataCellStyle="Currency">
      <calculatedColumnFormula>internal_sales_data[[#This Row],[Net Price]]-internal_sales_data[[#This Row],[COGS]]</calculatedColumnFormula>
    </tableColumn>
    <tableColumn id="11" xr3:uid="{7C588C62-85DC-41E9-81C4-648DF71F5B17}" name="Gross Profit per product" totalsRowFunction="sum" dataDxfId="44" totalsRowDxfId="43"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2"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C5EA8F-83B9-4E16-963A-092A8062634B}" name="internal_sales_data5" displayName="internal_sales_data5" ref="A1:M12" totalsRowShown="0">
  <autoFilter ref="A1:M12" xr:uid="{04364B77-531F-4E7F-8C97-717C91709596}"/>
  <tableColumns count="13">
    <tableColumn id="1" xr3:uid="{BA8521DB-190F-4C95-9B5D-AC1BD6B56D42}" name="Brand" dataDxfId="41"/>
    <tableColumn id="2" xr3:uid="{C7996B74-5AA1-4062-B365-0BE238F69835}" name="Product" dataDxfId="40"/>
    <tableColumn id="3" xr3:uid="{11F177F3-2DB2-4E41-A97E-A5781345BD88}" name="Pack Size (ml)"/>
    <tableColumn id="4" xr3:uid="{05D41196-2FD2-4B4F-98C2-BD1D203B026D}" name="ProductID" dataDxfId="39"/>
    <tableColumn id="5" xr3:uid="{606ADF6E-9619-44C5-9041-3F28FB3D21C3}" name="Retail Price" dataDxfId="38" totalsRowDxfId="37" dataCellStyle="Currency"/>
    <tableColumn id="6" xr3:uid="{E9612831-C323-4BF5-8D07-42F44C6D6657}" name="Net Price" dataDxfId="36" totalsRowDxfId="35" dataCellStyle="Currency"/>
    <tableColumn id="7" xr3:uid="{19B5EDC8-AFF8-478C-A24B-0A18D21CFD56}" name="COGS" dataDxfId="34" totalsRowDxfId="33" dataCellStyle="Currency"/>
    <tableColumn id="8" xr3:uid="{A6437DE0-85EF-45F4-998F-BFB7653B638D}" name="Volume 2022" dataDxfId="32" totalsRowDxfId="31" dataCellStyle="Comma"/>
    <tableColumn id="10" xr3:uid="{A6F430BF-C749-4C53-9A8B-1FD6459275A3}" name="Net Sales 2022" dataDxfId="30" totalsRowDxfId="29" dataCellStyle="Currency">
      <calculatedColumnFormula>internal_sales_data5[[#This Row],[Volume 2022]]*internal_sales_data5[[#This Row],[Net Price]]</calculatedColumnFormula>
    </tableColumn>
    <tableColumn id="9" xr3:uid="{FFB4B2C4-D475-435F-B399-9E10B2057AEE}" name="Gross Profit per unit" dataDxfId="28" totalsRowDxfId="27" dataCellStyle="Currency">
      <calculatedColumnFormula>internal_sales_data5[[#This Row],[Net Price]]-internal_sales_data5[[#This Row],[COGS]]</calculatedColumnFormula>
    </tableColumn>
    <tableColumn id="11" xr3:uid="{A95FDEA5-0651-46F3-989F-E76527399A17}" name="Gross Profit per product" dataDxfId="26" totalsRowDxfId="25" dataCellStyle="Currency">
      <calculatedColumnFormula>internal_sales_data5[[#This Row],[Gross Profit per unit]]*internal_sales_data5[[#This Row],[Volume 2022]]</calculatedColumnFormula>
    </tableColumn>
    <tableColumn id="12" xr3:uid="{130AE079-C591-42C5-9B9D-91566549BA29}" name="Gross Margin" totalsRowDxfId="24" dataCellStyle="Percent">
      <calculatedColumnFormula>internal_sales_data5[[#This Row],[Gross Profit per unit]]/internal_sales_data5[[#This Row],[Net Price]]</calculatedColumnFormula>
    </tableColumn>
    <tableColumn id="13" xr3:uid="{CF997EEB-0F03-42DC-8CA6-73F158731420}" name="Price per ml" dataDxfId="23">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DB7A6E-728D-454C-AB20-DB5D43DAA650}" name="new_product_launch" displayName="new_product_launch" ref="A1:I4" totalsRowShown="0">
  <autoFilter ref="A1:I4" xr:uid="{48DB7A6E-728D-454C-AB20-DB5D43DAA650}"/>
  <tableColumns count="9">
    <tableColumn id="1" xr3:uid="{E723C637-997D-445E-A557-BBC9568EB521}" name="Product" dataDxfId="18"/>
    <tableColumn id="2" xr3:uid="{E2327BF9-51BE-4295-B8A9-3A139DFB3483}" name="Estimated Unit Market Share" dataCellStyle="Percent"/>
    <tableColumn id="3" xr3:uid="{29BEE026-0A84-498F-9D52-CFFC115396F0}" name="Estimated units sold 2024" dataDxfId="17" dataCellStyle="Comma">
      <calculatedColumnFormula>new_product_launch[[#This Row],[Estimated Unit Market Share]]*'New Category Opportunity'!$B$18</calculatedColumnFormula>
    </tableColumn>
    <tableColumn id="4" xr3:uid="{5D148890-CDAB-445B-96C0-A77D362A9DD9}" name="Net Price" dataDxfId="16"/>
    <tableColumn id="5" xr3:uid="{3E290559-B976-4F9B-95B5-4B7209A29FE6}" name="Net Sales" dataDxfId="15">
      <calculatedColumnFormula>new_product_launch[[#This Row],[Estimated units sold 2024]]*new_product_launch[[#This Row],[Net Price]]</calculatedColumnFormula>
    </tableColumn>
    <tableColumn id="6" xr3:uid="{9484F327-1110-4007-89A1-39B02DD09E30}" name="COGS" dataDxfId="14"/>
    <tableColumn id="7" xr3:uid="{D836D6AA-D4E9-40A2-B1E9-9CCBEB0E38BC}" name="Gross Profit per unit" dataDxfId="13">
      <calculatedColumnFormula>new_product_launch[[#This Row],[Net Price]]-new_product_launch[[#This Row],[COGS]]</calculatedColumnFormula>
    </tableColumn>
    <tableColumn id="8" xr3:uid="{FEC299DF-D865-4F74-8FC1-E48F6944C79C}" name="Gross Profit per product" dataDxfId="12">
      <calculatedColumnFormula>new_product_launch[[#This Row],[Estimated units sold 2024]]*new_product_launch[[#This Row],[Gross Profit per unit]]</calculatedColumnFormula>
    </tableColumn>
    <tableColumn id="9" xr3:uid="{6D0B36D8-A700-4699-87F8-5D3CE870FAF6}" name="Gross Margin" dataCellStyle="Percent">
      <calculatedColumnFormula>new_product_launch[[#This Row],[Gross Profit per product]]/new_product_launch[[#This Row],[Net Sales]]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BEF12-4809-4107-A738-B226C70B83D0}">
  <dimension ref="A1:J4"/>
  <sheetViews>
    <sheetView workbookViewId="0">
      <selection activeCell="K6" sqref="K6"/>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5.42578125" customWidth="1"/>
    <col min="7" max="7" width="16.28515625" bestFit="1" customWidth="1"/>
    <col min="8" max="8" width="12.140625" customWidth="1"/>
    <col min="9" max="9" width="15.42578125" customWidth="1"/>
    <col min="10" max="10" width="8.5703125" customWidth="1"/>
  </cols>
  <sheetData>
    <row r="1" spans="1:10" x14ac:dyDescent="0.25">
      <c r="A1" t="s">
        <v>108</v>
      </c>
      <c r="B1" t="s">
        <v>109</v>
      </c>
      <c r="C1" t="s">
        <v>2</v>
      </c>
      <c r="D1" t="s">
        <v>4</v>
      </c>
      <c r="E1" t="s">
        <v>5</v>
      </c>
      <c r="F1" t="s">
        <v>110</v>
      </c>
      <c r="G1" t="s">
        <v>111</v>
      </c>
      <c r="H1" t="s">
        <v>112</v>
      </c>
      <c r="I1" t="s">
        <v>113</v>
      </c>
      <c r="J1" t="s">
        <v>114</v>
      </c>
    </row>
    <row r="2" spans="1:10" x14ac:dyDescent="0.25">
      <c r="A2">
        <v>1</v>
      </c>
      <c r="B2" s="22" t="s">
        <v>115</v>
      </c>
      <c r="C2" s="22" t="s">
        <v>22</v>
      </c>
      <c r="D2">
        <v>2022</v>
      </c>
      <c r="E2">
        <v>4</v>
      </c>
      <c r="F2" s="1">
        <f>VLOOKUP(promotion_analysis[[#This Row],[Month]],'Promotion Graph'!$A$5:$B$16,2,FALSE)</f>
        <v>1445626</v>
      </c>
      <c r="G2" s="1">
        <f>AVERAGE('Promotion Graph'!$B$5:$B$7,'Promotion Graph'!$B$9:$B$11,'Promotion Graph'!$B$13:$B$14,'Promotion Graph'!$B$16)</f>
        <v>840835.5555555555</v>
      </c>
      <c r="H2" s="1">
        <f>promotion_analysis[[#This Row],[Value sales]]-promotion_analysis[[#This Row],[Baseline sales ]]</f>
        <v>604790.4444444445</v>
      </c>
      <c r="I2" s="13">
        <v>620000</v>
      </c>
      <c r="J2" s="23">
        <f>(promotion_analysis[[#This Row],[Uplift]]-promotion_analysis[[#This Row],[Costs]])/promotion_analysis[[#This Row],[Costs]]</f>
        <v>-2.453154121863791E-2</v>
      </c>
    </row>
    <row r="3" spans="1:10" x14ac:dyDescent="0.25">
      <c r="A3">
        <v>2</v>
      </c>
      <c r="B3" s="22" t="s">
        <v>116</v>
      </c>
      <c r="C3" s="22" t="s">
        <v>22</v>
      </c>
      <c r="D3">
        <v>2022</v>
      </c>
      <c r="E3">
        <v>8</v>
      </c>
      <c r="F3" s="1">
        <f>VLOOKUP(promotion_analysis[[#This Row],[Month]],'Promotion Graph'!$A$5:$B$16,2,FALSE)</f>
        <v>1198708</v>
      </c>
      <c r="G3" s="1">
        <f>AVERAGE('Promotion Graph'!$B$5:$B$7,'Promotion Graph'!$B$9:$B$11,'Promotion Graph'!$B$13:$B$14,'Promotion Graph'!$B$16)</f>
        <v>840835.5555555555</v>
      </c>
      <c r="H3" s="1">
        <f>promotion_analysis[[#This Row],[Value sales]]-promotion_analysis[[#This Row],[Baseline sales ]]</f>
        <v>357872.4444444445</v>
      </c>
      <c r="I3" s="13">
        <v>320000</v>
      </c>
      <c r="J3" s="23">
        <f>(promotion_analysis[[#This Row],[Uplift]]-promotion_analysis[[#This Row],[Costs]])/promotion_analysis[[#This Row],[Costs]]</f>
        <v>0.11835138888888905</v>
      </c>
    </row>
    <row r="4" spans="1:10" x14ac:dyDescent="0.25">
      <c r="A4">
        <v>3</v>
      </c>
      <c r="B4" s="22" t="s">
        <v>117</v>
      </c>
      <c r="C4" s="22" t="s">
        <v>22</v>
      </c>
      <c r="D4">
        <v>2022</v>
      </c>
      <c r="E4">
        <v>11</v>
      </c>
      <c r="F4" s="1">
        <f>VLOOKUP(promotion_analysis[[#This Row],[Month]],'Promotion Graph'!$A$5:$B$16,2,FALSE)</f>
        <v>1413646</v>
      </c>
      <c r="G4" s="1">
        <f>AVERAGE('Promotion Graph'!$B$5:$B$7,'Promotion Graph'!$B$9:$B$11,'Promotion Graph'!$B$13:$B$14,'Promotion Graph'!$B$16)</f>
        <v>840835.5555555555</v>
      </c>
      <c r="H4" s="1">
        <f>promotion_analysis[[#This Row],[Value sales]]-promotion_analysis[[#This Row],[Baseline sales ]]</f>
        <v>572810.4444444445</v>
      </c>
      <c r="I4" s="13">
        <v>540000</v>
      </c>
      <c r="J4" s="23">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C033-84E8-40B4-ACCF-39045A6B1C24}">
  <dimension ref="A1:B17"/>
  <sheetViews>
    <sheetView workbookViewId="0">
      <selection activeCell="B5" sqref="B5"/>
    </sheetView>
  </sheetViews>
  <sheetFormatPr defaultRowHeight="15" x14ac:dyDescent="0.25"/>
  <cols>
    <col min="1" max="1" width="13.140625" bestFit="1" customWidth="1"/>
    <col min="2" max="2" width="20.28515625" bestFit="1" customWidth="1"/>
    <col min="3" max="13" width="11.28515625" bestFit="1" customWidth="1"/>
    <col min="14" max="14" width="12.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D29FC-6C98-4582-8F1F-3EBC400E11F5}">
  <dimension ref="A1:G8"/>
  <sheetViews>
    <sheetView workbookViewId="0">
      <selection activeCell="F7" sqref="F7"/>
    </sheetView>
  </sheetViews>
  <sheetFormatPr defaultRowHeight="15" x14ac:dyDescent="0.25"/>
  <cols>
    <col min="1" max="1" width="13" customWidth="1"/>
    <col min="2" max="2" width="22.140625" customWidth="1"/>
    <col min="3" max="3" width="31" customWidth="1"/>
    <col min="4" max="4" width="45.7109375" customWidth="1"/>
    <col min="5" max="5" width="45.85546875" customWidth="1"/>
    <col min="6" max="6" width="12.28515625" bestFit="1" customWidth="1"/>
  </cols>
  <sheetData>
    <row r="1" spans="1:7" x14ac:dyDescent="0.25">
      <c r="A1" t="s">
        <v>58</v>
      </c>
      <c r="B1" t="s">
        <v>61</v>
      </c>
      <c r="C1" t="s">
        <v>121</v>
      </c>
      <c r="D1" t="s">
        <v>118</v>
      </c>
      <c r="E1" t="s">
        <v>119</v>
      </c>
      <c r="F1" t="s">
        <v>102</v>
      </c>
      <c r="G1" t="s">
        <v>120</v>
      </c>
    </row>
    <row r="2" spans="1:7" x14ac:dyDescent="0.25">
      <c r="A2">
        <v>2018</v>
      </c>
      <c r="B2" s="1">
        <v>30685269</v>
      </c>
      <c r="F2" s="1"/>
      <c r="G2" s="14"/>
    </row>
    <row r="3" spans="1:7" x14ac:dyDescent="0.25">
      <c r="A3">
        <v>2019</v>
      </c>
      <c r="B3" s="1">
        <v>29261549</v>
      </c>
      <c r="F3" s="1"/>
      <c r="G3" s="14"/>
    </row>
    <row r="4" spans="1:7" x14ac:dyDescent="0.25">
      <c r="A4">
        <v>2020</v>
      </c>
      <c r="B4" s="1">
        <v>30370933</v>
      </c>
      <c r="F4" s="1"/>
      <c r="G4" s="14"/>
    </row>
    <row r="5" spans="1:7" x14ac:dyDescent="0.25">
      <c r="A5">
        <v>2021</v>
      </c>
      <c r="B5" s="1">
        <v>30710796</v>
      </c>
      <c r="F5" s="1"/>
      <c r="G5" s="14"/>
    </row>
    <row r="6" spans="1:7" x14ac:dyDescent="0.25">
      <c r="A6">
        <v>2022</v>
      </c>
      <c r="B6" s="1">
        <v>31442892</v>
      </c>
      <c r="C6" s="1">
        <v>31442892</v>
      </c>
      <c r="D6" s="1">
        <v>31442892</v>
      </c>
      <c r="E6" s="1">
        <v>31442892</v>
      </c>
      <c r="F6" s="1">
        <f>internal_sales_data[[#Totals],[Net Sales 2022]]</f>
        <v>20480714.900000002</v>
      </c>
      <c r="G6" s="14">
        <f>Table6[[#This Row],[Net Sales]]/Table6[[#This Row],[Sum of Values Month]]</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4"/>
    </row>
    <row r="8" spans="1:7" x14ac:dyDescent="0.2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4"/>
    </row>
  </sheetData>
  <pageMargins left="0.7" right="0.7" top="0.75" bottom="0.75" header="0.3" footer="0.3"/>
  <ignoredErrors>
    <ignoredError sqref="F7:F8" calculatedColumn="1"/>
  </ignoredErrors>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7083-5B71-4273-9830-649032EFE2E5}">
  <dimension ref="A1:E2"/>
  <sheetViews>
    <sheetView tabSelected="1" workbookViewId="0">
      <selection activeCell="O17" sqref="O17"/>
    </sheetView>
  </sheetViews>
  <sheetFormatPr defaultRowHeight="15" x14ac:dyDescent="0.25"/>
  <cols>
    <col min="1" max="1" width="26.7109375" style="24" bestFit="1" customWidth="1"/>
    <col min="2" max="2" width="17" style="24" bestFit="1" customWidth="1"/>
    <col min="3" max="3" width="18.85546875" style="24" bestFit="1" customWidth="1"/>
    <col min="4" max="4" width="16.140625" style="24" bestFit="1" customWidth="1"/>
    <col min="5" max="5" width="26.7109375" style="24" bestFit="1" customWidth="1"/>
    <col min="6" max="6" width="23" style="24" bestFit="1" customWidth="1"/>
    <col min="7" max="16384" width="9.140625" style="24"/>
  </cols>
  <sheetData>
    <row r="1" spans="1:5" x14ac:dyDescent="0.25">
      <c r="A1" s="26" t="s">
        <v>124</v>
      </c>
      <c r="B1" s="26" t="s">
        <v>125</v>
      </c>
      <c r="C1" s="27" t="s">
        <v>126</v>
      </c>
      <c r="D1" s="27" t="s">
        <v>123</v>
      </c>
      <c r="E1" s="27" t="s">
        <v>122</v>
      </c>
    </row>
    <row r="2" spans="1:5" x14ac:dyDescent="0.25">
      <c r="A2" s="25">
        <f>'Forecast 2024'!F7</f>
        <v>20606057.899500884</v>
      </c>
      <c r="B2" s="25">
        <f>'Forecast 2024'!F8-'Forecast 2024'!F7</f>
        <v>202654.24053605273</v>
      </c>
      <c r="C2" s="25">
        <f>'Organic Shampoo Launch'!E3</f>
        <v>336896.60399999993</v>
      </c>
      <c r="D2" s="25">
        <f>'50ml Shampoo 2024'!I12</f>
        <v>265960.03999999998</v>
      </c>
      <c r="E2" s="25">
        <f>SUM(A2:D2)</f>
        <v>21411568.784036934</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7D3E5-76F7-4B82-AE3D-4B57BE13BF81}">
  <dimension ref="A3:B10"/>
  <sheetViews>
    <sheetView workbookViewId="0">
      <selection activeCell="A5" sqref="A5:B10"/>
    </sheetView>
  </sheetViews>
  <sheetFormatPr defaultRowHeight="15" x14ac:dyDescent="0.25"/>
  <cols>
    <col min="1" max="1" width="13.140625" bestFit="1" customWidth="1"/>
    <col min="2" max="2" width="20.28515625" bestFit="1" customWidth="1"/>
    <col min="3" max="6" width="12.28515625" bestFit="1" customWidth="1"/>
    <col min="7" max="7" width="13.42578125" bestFit="1" customWidth="1"/>
  </cols>
  <sheetData>
    <row r="3" spans="1:2" x14ac:dyDescent="0.25">
      <c r="A3" s="2" t="s">
        <v>1</v>
      </c>
      <c r="B3" t="s">
        <v>21</v>
      </c>
    </row>
    <row r="5" spans="1:2" x14ac:dyDescent="0.25">
      <c r="A5" s="2" t="s">
        <v>58</v>
      </c>
      <c r="B5" t="s">
        <v>61</v>
      </c>
    </row>
    <row r="6" spans="1:2" x14ac:dyDescent="0.25">
      <c r="A6" s="3">
        <v>2018</v>
      </c>
      <c r="B6" s="1">
        <v>30685269</v>
      </c>
    </row>
    <row r="7" spans="1:2" x14ac:dyDescent="0.25">
      <c r="A7" s="3">
        <v>2019</v>
      </c>
      <c r="B7" s="1">
        <v>29261549</v>
      </c>
    </row>
    <row r="8" spans="1:2" x14ac:dyDescent="0.25">
      <c r="A8" s="3">
        <v>2020</v>
      </c>
      <c r="B8" s="1">
        <v>30370933</v>
      </c>
    </row>
    <row r="9" spans="1:2" x14ac:dyDescent="0.25">
      <c r="A9" s="3">
        <v>2021</v>
      </c>
      <c r="B9" s="1">
        <v>30710796</v>
      </c>
    </row>
    <row r="10" spans="1:2" x14ac:dyDescent="0.25">
      <c r="A10" s="3">
        <v>2022</v>
      </c>
      <c r="B10" s="1">
        <v>31442892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M2" sqref="M2"/>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G12" sqref="G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A23F-D11C-41A2-A4B9-2551DE4F89D1}">
  <dimension ref="A1:M12"/>
  <sheetViews>
    <sheetView workbookViewId="0">
      <selection activeCell="H13" sqref="H1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6.140625" bestFit="1" customWidth="1"/>
    <col min="10" max="10" width="21.42578125" bestFit="1" customWidth="1"/>
    <col min="11" max="11" width="24.85546875" bestFit="1" customWidth="1"/>
    <col min="12" max="12" width="15" bestFit="1" customWidth="1"/>
    <col min="13" max="13" width="23.7109375" bestFit="1" customWidth="1"/>
  </cols>
  <sheetData>
    <row r="1" spans="1:13" x14ac:dyDescent="0.25">
      <c r="A1" t="s">
        <v>2</v>
      </c>
      <c r="B1" t="s">
        <v>68</v>
      </c>
      <c r="C1" t="s">
        <v>69</v>
      </c>
      <c r="D1" t="s">
        <v>70</v>
      </c>
      <c r="E1" s="8" t="s">
        <v>71</v>
      </c>
      <c r="F1" s="8" t="s">
        <v>72</v>
      </c>
      <c r="G1" s="8" t="s">
        <v>73</v>
      </c>
      <c r="H1" s="9" t="s">
        <v>74</v>
      </c>
      <c r="I1" t="s">
        <v>99</v>
      </c>
      <c r="J1" t="s">
        <v>94</v>
      </c>
      <c r="K1" t="s">
        <v>90</v>
      </c>
      <c r="L1" t="s">
        <v>91</v>
      </c>
      <c r="M1" t="s">
        <v>106</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21">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21">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21">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21">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21">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21">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21">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21">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21">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21">
        <f>internal_sales_data5[[#This Row],[Retail Price]]/internal_sales_data5[[#This Row],[Pack Size (ml)]]</f>
        <v>0.05</v>
      </c>
    </row>
    <row r="12" spans="1:13" x14ac:dyDescent="0.25">
      <c r="A12" t="s">
        <v>57</v>
      </c>
      <c r="B12" t="s">
        <v>75</v>
      </c>
      <c r="C12">
        <v>50</v>
      </c>
      <c r="D12" t="s">
        <v>107</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21">
        <f>internal_sales_data5[[#This Row],[Retail Price]]/internal_sales_data5[[#This Row],[Pack Size (ml)]]</f>
        <v>7.4999999999999997E-2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8DA1D-3D45-4B4E-8C12-02C89235483D}">
  <dimension ref="A1:I11"/>
  <sheetViews>
    <sheetView workbookViewId="0">
      <selection activeCell="B5" sqref="B5"/>
    </sheetView>
  </sheetViews>
  <sheetFormatPr defaultRowHeight="15" x14ac:dyDescent="0.25"/>
  <cols>
    <col min="1" max="1" width="14.140625" bestFit="1" customWidth="1"/>
    <col min="2" max="2" width="29.28515625" bestFit="1" customWidth="1"/>
    <col min="3" max="3" width="26" bestFit="1" customWidth="1"/>
    <col min="4" max="4" width="11.42578125" bestFit="1" customWidth="1"/>
    <col min="5" max="5" width="14.42578125" bestFit="1" customWidth="1"/>
    <col min="6" max="6" width="9.140625" bestFit="1" customWidth="1"/>
    <col min="7" max="7" width="21.42578125" bestFit="1" customWidth="1"/>
    <col min="8" max="8" width="24.85546875" bestFit="1" customWidth="1"/>
    <col min="9" max="9" width="15" bestFit="1" customWidth="1"/>
  </cols>
  <sheetData>
    <row r="1" spans="1:9" x14ac:dyDescent="0.25">
      <c r="A1" t="s">
        <v>68</v>
      </c>
      <c r="B1" t="s">
        <v>100</v>
      </c>
      <c r="C1" t="s">
        <v>101</v>
      </c>
      <c r="D1" t="s">
        <v>72</v>
      </c>
      <c r="E1" t="s">
        <v>102</v>
      </c>
      <c r="F1" t="s">
        <v>73</v>
      </c>
      <c r="G1" t="s">
        <v>94</v>
      </c>
      <c r="H1" t="s">
        <v>90</v>
      </c>
      <c r="I1" t="s">
        <v>91</v>
      </c>
    </row>
    <row r="2" spans="1:9" x14ac:dyDescent="0.25">
      <c r="A2" t="s">
        <v>103</v>
      </c>
      <c r="B2" s="14">
        <v>0.1</v>
      </c>
      <c r="C2" s="18">
        <f>new_product_launch[[#This Row],[Estimated Unit Market Share]]*'New Category Opportunity'!$B$18</f>
        <v>102089.88</v>
      </c>
      <c r="D2" s="13">
        <v>3.5</v>
      </c>
      <c r="E2" s="1">
        <f>new_product_launch[[#This Row],[Estimated units sold 2024]]*new_product_launch[[#This Row],[Net Price]]</f>
        <v>357314.58</v>
      </c>
      <c r="F2" s="13">
        <v>1.35</v>
      </c>
      <c r="G2" s="13">
        <f>new_product_launch[[#This Row],[Net Price]]-new_product_launch[[#This Row],[COGS]]</f>
        <v>2.15</v>
      </c>
      <c r="H2" s="13">
        <f>new_product_launch[[#This Row],[Estimated units sold 2024]]*new_product_launch[[#This Row],[Gross Profit per unit]]</f>
        <v>219493.242</v>
      </c>
      <c r="I2" s="14">
        <f>new_product_launch[[#This Row],[Gross Profit per product]]/new_product_launch[[#This Row],[Net Sales]]</f>
        <v>0.61428571428571421</v>
      </c>
    </row>
    <row r="3" spans="1:9" x14ac:dyDescent="0.25">
      <c r="A3" t="s">
        <v>104</v>
      </c>
      <c r="B3" s="14">
        <v>0.12</v>
      </c>
      <c r="C3" s="18">
        <f>new_product_launch[[#This Row],[Estimated Unit Market Share]]*'New Category Opportunity'!$B$18</f>
        <v>122507.85599999999</v>
      </c>
      <c r="D3" s="13">
        <v>2.75</v>
      </c>
      <c r="E3" s="1">
        <f>new_product_launch[[#This Row],[Estimated units sold 2024]]*new_product_launch[[#This Row],[Net Price]]</f>
        <v>336896.60399999993</v>
      </c>
      <c r="F3" s="13">
        <v>0.9</v>
      </c>
      <c r="G3" s="13">
        <f>new_product_launch[[#This Row],[Net Price]]-new_product_launch[[#This Row],[COGS]]</f>
        <v>1.85</v>
      </c>
      <c r="H3" s="13">
        <f>new_product_launch[[#This Row],[Estimated units sold 2024]]*new_product_launch[[#This Row],[Gross Profit per unit]]</f>
        <v>226639.5336</v>
      </c>
      <c r="I3" s="14">
        <f>new_product_launch[[#This Row],[Gross Profit per product]]/new_product_launch[[#This Row],[Net Sales]]</f>
        <v>0.67272727272727284</v>
      </c>
    </row>
    <row r="4" spans="1:9" x14ac:dyDescent="0.25">
      <c r="A4" t="s">
        <v>105</v>
      </c>
      <c r="B4" s="14">
        <v>0.1</v>
      </c>
      <c r="C4" s="18">
        <f>new_product_launch[[#This Row],[Estimated Unit Market Share]]*'New Category Opportunity'!$B$18</f>
        <v>102089.88</v>
      </c>
      <c r="D4" s="19">
        <v>38</v>
      </c>
      <c r="E4" s="19">
        <f>new_product_launch[[#This Row],[Estimated units sold 2024]]*new_product_launch[[#This Row],[Net Price]]</f>
        <v>3879415.4400000004</v>
      </c>
      <c r="F4" s="19">
        <v>20.420000000000002</v>
      </c>
      <c r="G4" s="19">
        <f>new_product_launch[[#This Row],[Net Price]]-new_product_launch[[#This Row],[COGS]]</f>
        <v>17.579999999999998</v>
      </c>
      <c r="H4" s="19">
        <f>new_product_launch[[#This Row],[Estimated units sold 2024]]*new_product_launch[[#This Row],[Gross Profit per unit]]</f>
        <v>1794740.0903999999</v>
      </c>
      <c r="I4" s="14">
        <f>new_product_launch[[#This Row],[Gross Profit per product]]/new_product_launch[[#This Row],[Net Sales]]</f>
        <v>0.46263157894736834</v>
      </c>
    </row>
    <row r="11" spans="1:9" x14ac:dyDescent="0.25">
      <c r="G11" s="2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Promotion Analysis</vt:lpstr>
      <vt:lpstr>Promotion Graph</vt:lpstr>
      <vt:lpstr>Forecast 2024</vt:lpstr>
      <vt:lpstr>Waterfall</vt:lpstr>
      <vt:lpstr>Sales until 2022</vt:lpstr>
      <vt:lpstr>External Data</vt:lpstr>
      <vt:lpstr>Profitability Matrix</vt:lpstr>
      <vt:lpstr>Internal Sales Data</vt:lpstr>
      <vt:lpstr>50ml Shampoo 2024</vt:lpstr>
      <vt:lpstr>New Category Opportunity</vt:lpstr>
      <vt:lpstr>Organic Shampoo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GIFT NKOSANA MOLEFE</cp:lastModifiedBy>
  <dcterms:created xsi:type="dcterms:W3CDTF">2022-06-08T14:08:07Z</dcterms:created>
  <dcterms:modified xsi:type="dcterms:W3CDTF">2025-01-10T15:25:42Z</dcterms:modified>
</cp:coreProperties>
</file>