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kosa\src\Data Sets\"/>
    </mc:Choice>
  </mc:AlternateContent>
  <xr:revisionPtr revIDLastSave="0" documentId="13_ncr:1_{56F43B0F-A8CB-4AB6-B796-F553BEDD09CE}" xr6:coauthVersionLast="47" xr6:coauthVersionMax="47" xr10:uidLastSave="{00000000-0000-0000-0000-000000000000}"/>
  <bookViews>
    <workbookView showHorizontalScroll="0" showVerticalScroll="0" xWindow="-110" yWindow="-110" windowWidth="19420" windowHeight="10300" firstSheet="2" activeTab="4" xr2:uid="{BE00852B-17FD-4E84-87FA-704D0BE0514C}"/>
  </bookViews>
  <sheets>
    <sheet name="Pivot Produce" sheetId="21" state="hidden" r:id="rId1"/>
    <sheet name="Pivot Agents" sheetId="22" state="hidden" r:id="rId2"/>
    <sheet name="Pivot Totals" sheetId="23" r:id="rId3"/>
    <sheet name="Pivot Sale" sheetId="24" state="hidden" r:id="rId4"/>
    <sheet name="Inpute Data" sheetId="1" r:id="rId5"/>
    <sheet name="Sheet1" sheetId="28" state="hidden" r:id="rId6"/>
    <sheet name="commition" sheetId="27" r:id="rId7"/>
    <sheet name="Agents Contact " sheetId="26" state="hidden" r:id="rId8"/>
    <sheet name="Statment" sheetId="18" state="hidden" r:id="rId9"/>
    <sheet name="Sales Graph" sheetId="2" state="hidden" r:id="rId10"/>
    <sheet name="Produce Compared" sheetId="14" state="hidden" r:id="rId11"/>
    <sheet name="Agents All Time" sheetId="16" state="hidden" r:id="rId12"/>
    <sheet name="Agents 2020" sheetId="17" state="hidden" r:id="rId13"/>
    <sheet name="Agents Compared" sheetId="15" state="hidden" r:id="rId14"/>
    <sheet name="Weekly Update" sheetId="3" state="hidden" r:id="rId15"/>
    <sheet name="Monthly" sheetId="5" state="hidden" r:id="rId16"/>
    <sheet name="Yearly" sheetId="4" state="hidden" r:id="rId17"/>
    <sheet name="List" sheetId="9" state="hidden" r:id="rId18"/>
  </sheets>
  <definedNames>
    <definedName name="_xlnm._FilterDatabase" localSheetId="4" hidden="1">'Inpute Data'!$C$1:$C$295</definedName>
    <definedName name="Deduction">'Inpute Data'!$I$2:$I$193</definedName>
    <definedName name="_xlnm.Extract" localSheetId="4">'Inpute Data'!#REF!</definedName>
    <definedName name="Gross">'Inpute Data'!$H$2:$H$295</definedName>
    <definedName name="Gross_Profit">'Inpute Data'!$J$2:$J$295</definedName>
    <definedName name="_xlnm.Print_Area" localSheetId="4">'Inpute Data'!$A$1:$K$299</definedName>
    <definedName name="_xlnm.Print_Area" localSheetId="9">'Sales Graph'!$A$1:$O$23</definedName>
    <definedName name="Produce">'Inpute Data'!$D$2:$D$295</definedName>
    <definedName name="Qty_Delivered">'Inpute Data'!$E$2:$E$295</definedName>
    <definedName name="Qty_Destroyed">'Inpute Data'!$G$2:$G$99</definedName>
    <definedName name="Qty_Sold">'Inpute Data'!$F$2:$F$295</definedName>
    <definedName name="S_Month">Yearly!$C$7</definedName>
    <definedName name="Starting_Month">'Sales Graph'!$C$7</definedName>
    <definedName name="Table_Data" localSheetId="1">Data[]</definedName>
    <definedName name="Table_Data" localSheetId="3">Data[]</definedName>
    <definedName name="Table_Data" localSheetId="2">Data[]</definedName>
    <definedName name="Table_Data">Data[]</definedName>
  </definedNames>
  <calcPr calcId="191028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0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J272" i="1" s="1"/>
  <c r="I273" i="1"/>
  <c r="J273" i="1" s="1"/>
  <c r="I274" i="1"/>
  <c r="I275" i="1"/>
  <c r="I276" i="1"/>
  <c r="J276" i="1" s="1"/>
  <c r="I277" i="1"/>
  <c r="J277" i="1" s="1"/>
  <c r="I278" i="1"/>
  <c r="I279" i="1"/>
  <c r="I280" i="1"/>
  <c r="J280" i="1" s="1"/>
  <c r="I281" i="1"/>
  <c r="J281" i="1" s="1"/>
  <c r="I282" i="1"/>
  <c r="I283" i="1"/>
  <c r="I284" i="1"/>
  <c r="J284" i="1" s="1"/>
  <c r="I285" i="1"/>
  <c r="J285" i="1" s="1"/>
  <c r="I286" i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E18" i="27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Y39" i="28" s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C9" i="3"/>
  <c r="J295" i="1"/>
  <c r="J286" i="1"/>
  <c r="J282" i="1"/>
  <c r="J283" i="1"/>
  <c r="J279" i="1"/>
  <c r="J278" i="1"/>
  <c r="J275" i="1"/>
  <c r="J274" i="1"/>
  <c r="J271" i="1"/>
  <c r="X33" i="28"/>
  <c r="X31" i="28"/>
  <c r="X36" i="28"/>
  <c r="X32" i="28"/>
  <c r="X38" i="28"/>
  <c r="X37" i="28"/>
  <c r="X39" i="28"/>
  <c r="X34" i="28"/>
  <c r="X35" i="28"/>
  <c r="X30" i="28"/>
  <c r="W38" i="28"/>
  <c r="W37" i="28"/>
  <c r="W39" i="28"/>
  <c r="W34" i="28"/>
  <c r="W35" i="28"/>
  <c r="W31" i="28"/>
  <c r="W36" i="28"/>
  <c r="W32" i="28"/>
  <c r="W33" i="28"/>
  <c r="W30" i="28"/>
  <c r="Q26" i="28"/>
  <c r="P26" i="28"/>
  <c r="O26" i="28"/>
  <c r="Q24" i="28"/>
  <c r="Q14" i="28"/>
  <c r="Q22" i="28"/>
  <c r="Q16" i="28"/>
  <c r="Q6" i="28"/>
  <c r="Q10" i="28"/>
  <c r="Q12" i="28"/>
  <c r="Q8" i="28"/>
  <c r="Q18" i="28"/>
  <c r="Q20" i="28"/>
  <c r="P24" i="28"/>
  <c r="P14" i="28"/>
  <c r="P22" i="28"/>
  <c r="P16" i="28"/>
  <c r="P6" i="28"/>
  <c r="P10" i="28"/>
  <c r="P12" i="28"/>
  <c r="P8" i="28"/>
  <c r="P18" i="28"/>
  <c r="P20" i="28"/>
  <c r="O24" i="28"/>
  <c r="O14" i="28"/>
  <c r="O22" i="28"/>
  <c r="O16" i="28"/>
  <c r="O6" i="28"/>
  <c r="O10" i="28"/>
  <c r="O12" i="28"/>
  <c r="O8" i="28"/>
  <c r="O18" i="28"/>
  <c r="O20" i="28"/>
  <c r="Y33" i="28" l="1"/>
  <c r="Y35" i="28"/>
  <c r="Y38" i="28"/>
  <c r="Y36" i="28"/>
  <c r="Y32" i="28"/>
  <c r="Y37" i="28"/>
  <c r="Y30" i="28"/>
  <c r="Y31" i="28"/>
  <c r="Y34" i="28"/>
  <c r="J267" i="1"/>
  <c r="J268" i="1"/>
  <c r="J269" i="1"/>
  <c r="J270" i="1" l="1"/>
  <c r="J264" i="1"/>
  <c r="J265" i="1"/>
  <c r="J266" i="1"/>
  <c r="J263" i="1"/>
  <c r="M15" i="27"/>
  <c r="N15" i="27" s="1"/>
  <c r="L14" i="27"/>
  <c r="L13" i="27"/>
  <c r="F15" i="27"/>
  <c r="G15" i="27" s="1"/>
  <c r="E14" i="27"/>
  <c r="E13" i="27"/>
  <c r="F13" i="27" s="1"/>
  <c r="G13" i="27" s="1"/>
  <c r="N7" i="27"/>
  <c r="M7" i="27"/>
  <c r="F7" i="27"/>
  <c r="G7" i="27" s="1"/>
  <c r="N6" i="27"/>
  <c r="M6" i="27"/>
  <c r="L6" i="27"/>
  <c r="E6" i="27"/>
  <c r="F6" i="27" s="1"/>
  <c r="G6" i="27" s="1"/>
  <c r="L5" i="27"/>
  <c r="E5" i="27"/>
  <c r="J262" i="1"/>
  <c r="J261" i="1"/>
  <c r="J255" i="1"/>
  <c r="J253" i="1"/>
  <c r="J254" i="1"/>
  <c r="F14" i="27" l="1"/>
  <c r="G14" i="27" s="1"/>
  <c r="G16" i="27" s="1"/>
  <c r="M14" i="27"/>
  <c r="N14" i="27" s="1"/>
  <c r="M13" i="27"/>
  <c r="N13" i="27" s="1"/>
  <c r="N16" i="27" s="1"/>
  <c r="M5" i="27"/>
  <c r="N5" i="27" s="1"/>
  <c r="N8" i="27" s="1"/>
  <c r="F5" i="27"/>
  <c r="G5" i="27" s="1"/>
  <c r="G8" i="27" s="1"/>
  <c r="J57" i="1" l="1"/>
  <c r="J47" i="1"/>
  <c r="J46" i="1"/>
  <c r="J257" i="1"/>
  <c r="J258" i="1"/>
  <c r="J259" i="1"/>
  <c r="J256" i="1"/>
  <c r="J260" i="1"/>
  <c r="J50" i="1"/>
  <c r="J10" i="1"/>
  <c r="J8" i="1"/>
  <c r="J9" i="1"/>
  <c r="J6" i="1"/>
  <c r="J7" i="1"/>
  <c r="J5" i="1"/>
  <c r="J4" i="1"/>
  <c r="J2" i="1"/>
  <c r="J3" i="1"/>
  <c r="J252" i="1" l="1"/>
  <c r="J251" i="1"/>
  <c r="J250" i="1"/>
  <c r="Z35" i="28" l="1"/>
  <c r="J249" i="1"/>
  <c r="J247" i="1"/>
  <c r="J248" i="1"/>
  <c r="J236" i="1" l="1"/>
  <c r="J237" i="1"/>
  <c r="J244" i="1"/>
  <c r="J245" i="1"/>
  <c r="J246" i="1"/>
  <c r="J243" i="1"/>
  <c r="J233" i="1"/>
  <c r="J222" i="1"/>
  <c r="J240" i="1"/>
  <c r="J241" i="1"/>
  <c r="J242" i="1"/>
  <c r="J239" i="1"/>
  <c r="J235" i="1"/>
  <c r="J234" i="1"/>
  <c r="J238" i="1"/>
  <c r="J220" i="1"/>
  <c r="J230" i="1"/>
  <c r="J231" i="1"/>
  <c r="J232" i="1"/>
  <c r="Z36" i="28" l="1"/>
  <c r="D11" i="18" l="1"/>
  <c r="J228" i="1" l="1"/>
  <c r="J229" i="1"/>
  <c r="J227" i="1"/>
  <c r="J226" i="1" l="1"/>
  <c r="J225" i="1"/>
  <c r="J224" i="1"/>
  <c r="J223" i="1"/>
  <c r="J221" i="1"/>
  <c r="J219" i="1" l="1"/>
  <c r="J216" i="1"/>
  <c r="J218" i="1"/>
  <c r="J217" i="1"/>
  <c r="J214" i="1"/>
  <c r="J212" i="1"/>
  <c r="J215" i="1"/>
  <c r="J213" i="1"/>
  <c r="R18" i="28" s="1"/>
  <c r="R22" i="28" l="1"/>
  <c r="R24" i="28"/>
  <c r="F13" i="14"/>
  <c r="E13" i="14"/>
  <c r="D13" i="14"/>
  <c r="C13" i="14"/>
  <c r="F37" i="17"/>
  <c r="E37" i="17"/>
  <c r="D37" i="17"/>
  <c r="C37" i="17"/>
  <c r="F31" i="17"/>
  <c r="E31" i="17"/>
  <c r="D31" i="17"/>
  <c r="C31" i="17"/>
  <c r="F24" i="17"/>
  <c r="E20" i="17"/>
  <c r="E24" i="17" s="1"/>
  <c r="D24" i="17"/>
  <c r="C24" i="17"/>
  <c r="F15" i="17"/>
  <c r="E15" i="17"/>
  <c r="D15" i="17"/>
  <c r="C15" i="17"/>
  <c r="F37" i="16"/>
  <c r="E37" i="16"/>
  <c r="D37" i="16"/>
  <c r="C37" i="16"/>
  <c r="F31" i="16"/>
  <c r="E31" i="16"/>
  <c r="D31" i="16"/>
  <c r="C31" i="16"/>
  <c r="F24" i="16"/>
  <c r="E20" i="16"/>
  <c r="E24" i="16" s="1"/>
  <c r="D24" i="16"/>
  <c r="C24" i="16"/>
  <c r="F15" i="16"/>
  <c r="E15" i="16"/>
  <c r="D15" i="16"/>
  <c r="C15" i="16"/>
  <c r="G3" i="9"/>
  <c r="G4" i="9"/>
  <c r="G5" i="9"/>
  <c r="G14" i="9"/>
  <c r="G13" i="9"/>
  <c r="G12" i="9"/>
  <c r="G11" i="9"/>
  <c r="G10" i="9"/>
  <c r="G9" i="9"/>
  <c r="G8" i="9"/>
  <c r="G7" i="9"/>
  <c r="G6" i="9"/>
  <c r="J211" i="1"/>
  <c r="J210" i="1"/>
  <c r="J209" i="1"/>
  <c r="J207" i="1"/>
  <c r="J208" i="1"/>
  <c r="J206" i="1"/>
  <c r="J205" i="1"/>
  <c r="J204" i="1"/>
  <c r="J202" i="1"/>
  <c r="J203" i="1"/>
  <c r="J201" i="1"/>
  <c r="J200" i="1"/>
  <c r="J199" i="1"/>
  <c r="J196" i="1"/>
  <c r="Z39" i="28" s="1"/>
  <c r="B21" i="2"/>
  <c r="D21" i="2" s="1"/>
  <c r="B20" i="2"/>
  <c r="C20" i="2" s="1"/>
  <c r="B19" i="2"/>
  <c r="D19" i="2"/>
  <c r="B18" i="2"/>
  <c r="C18" i="2" s="1"/>
  <c r="B17" i="2"/>
  <c r="J198" i="1"/>
  <c r="J197" i="1"/>
  <c r="J195" i="1"/>
  <c r="J194" i="1"/>
  <c r="J193" i="1"/>
  <c r="C7" i="4"/>
  <c r="B11" i="4" s="1"/>
  <c r="C11" i="4" s="1"/>
  <c r="J134" i="1"/>
  <c r="J135" i="1"/>
  <c r="J136" i="1"/>
  <c r="J137" i="1"/>
  <c r="J138" i="1"/>
  <c r="J139" i="1"/>
  <c r="J140" i="1"/>
  <c r="J141" i="1"/>
  <c r="J142" i="1"/>
  <c r="J143" i="1"/>
  <c r="J144" i="1"/>
  <c r="J145" i="1"/>
  <c r="Z34" i="28" s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60" i="1"/>
  <c r="J161" i="1"/>
  <c r="J159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2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R6" i="28" s="1"/>
  <c r="J42" i="1"/>
  <c r="J43" i="1"/>
  <c r="J44" i="1"/>
  <c r="J45" i="1"/>
  <c r="J48" i="1"/>
  <c r="J49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C19" i="2"/>
  <c r="D17" i="2"/>
  <c r="C17" i="2"/>
  <c r="B10" i="2"/>
  <c r="C10" i="2" s="1"/>
  <c r="B16" i="2"/>
  <c r="D16" i="2" s="1"/>
  <c r="B15" i="2"/>
  <c r="C15" i="2" s="1"/>
  <c r="B14" i="2"/>
  <c r="D14" i="2" s="1"/>
  <c r="B13" i="2"/>
  <c r="D13" i="2"/>
  <c r="B12" i="2"/>
  <c r="C12" i="2" s="1"/>
  <c r="D12" i="2"/>
  <c r="B11" i="2"/>
  <c r="C11" i="2" s="1"/>
  <c r="C13" i="2"/>
  <c r="C8" i="3"/>
  <c r="C5" i="3"/>
  <c r="B11" i="3"/>
  <c r="B12" i="3"/>
  <c r="B9" i="3"/>
  <c r="B8" i="3" a="1"/>
  <c r="B8" i="3" s="1"/>
  <c r="B13" i="3"/>
  <c r="B10" i="3"/>
  <c r="B14" i="3"/>
  <c r="R26" i="28" l="1"/>
  <c r="Z38" i="28"/>
  <c r="Z33" i="28"/>
  <c r="Z30" i="28"/>
  <c r="Z37" i="28"/>
  <c r="Z31" i="28"/>
  <c r="Z32" i="28"/>
  <c r="R8" i="28"/>
  <c r="R16" i="28"/>
  <c r="R10" i="28"/>
  <c r="R20" i="28"/>
  <c r="R12" i="28"/>
  <c r="R14" i="28"/>
  <c r="D18" i="2"/>
  <c r="D15" i="2"/>
  <c r="D20" i="2"/>
  <c r="C14" i="2"/>
  <c r="C16" i="2"/>
  <c r="C21" i="2"/>
  <c r="B13" i="4"/>
  <c r="C13" i="4" s="1"/>
  <c r="D10" i="2"/>
  <c r="D11" i="2"/>
  <c r="B17" i="4"/>
  <c r="C17" i="4" s="1"/>
  <c r="B19" i="4"/>
  <c r="C19" i="4" s="1"/>
  <c r="B10" i="4"/>
  <c r="C10" i="4" s="1"/>
  <c r="D10" i="4" s="1"/>
  <c r="D11" i="4" s="1"/>
  <c r="B15" i="4"/>
  <c r="C15" i="4" s="1"/>
  <c r="B12" i="4"/>
  <c r="C12" i="4" s="1"/>
  <c r="B14" i="4"/>
  <c r="C14" i="4" s="1"/>
  <c r="B16" i="4"/>
  <c r="C16" i="4" s="1"/>
  <c r="B18" i="4"/>
  <c r="C18" i="4" s="1"/>
  <c r="B20" i="4"/>
  <c r="C20" i="4" s="1"/>
  <c r="D12" i="4" l="1"/>
  <c r="D13" i="4" s="1"/>
  <c r="D14" i="4" s="1"/>
  <c r="D15" i="4" s="1"/>
  <c r="D16" i="4" s="1"/>
  <c r="D17" i="4" s="1"/>
  <c r="D18" i="4" s="1"/>
  <c r="D19" i="4" s="1"/>
  <c r="D2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tc={E5D4E3E0-6215-4F64-9399-3E5AA9E0FE31}</author>
  </authors>
  <commentList>
    <comment ref="E184" authorId="0" shapeId="0" xr:uid="{E5D4E3E0-6215-4F64-9399-3E5AA9E0FE31}">
      <text>
        <t>[Threaded comment]
Your version of Excel allows you to read this threaded comment; however, any edits to it will get removed if the file is opened in a newer version of Excel. Learn more: https://go.microsoft.com/fwlink/?linkid=870924
Comment:
    bunch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<sst xmlns="http://schemas.openxmlformats.org/spreadsheetml/2006/main" count="1265" uniqueCount="130">
  <si>
    <t>Agent</t>
  </si>
  <si>
    <t>Produce</t>
  </si>
  <si>
    <t>Qty Delivered</t>
  </si>
  <si>
    <t>Qty Sold</t>
  </si>
  <si>
    <t>Gross</t>
  </si>
  <si>
    <t>Deduction</t>
  </si>
  <si>
    <t>Date</t>
  </si>
  <si>
    <t>Sales Data</t>
  </si>
  <si>
    <t>Dapper</t>
  </si>
  <si>
    <t>Klerksdorp</t>
  </si>
  <si>
    <t>Green Pepper</t>
  </si>
  <si>
    <t>Month</t>
  </si>
  <si>
    <t>Gross Profit</t>
  </si>
  <si>
    <t>Starting Month</t>
  </si>
  <si>
    <t>Qty Product</t>
  </si>
  <si>
    <t>Total Sales Qty</t>
  </si>
  <si>
    <t>Product</t>
  </si>
  <si>
    <t>Yellow Pepper</t>
  </si>
  <si>
    <t>Red Pepper</t>
  </si>
  <si>
    <t>Baby Marrow</t>
  </si>
  <si>
    <t>Qty Dischard</t>
  </si>
  <si>
    <t>Sales Per Agent</t>
  </si>
  <si>
    <t>Fresh Way</t>
  </si>
  <si>
    <t>Klersdorp</t>
  </si>
  <si>
    <t>Elysain Fields Farms</t>
  </si>
  <si>
    <t>Weekly Update</t>
  </si>
  <si>
    <t>Total Sales Qty (box)</t>
  </si>
  <si>
    <t>Monthly</t>
  </si>
  <si>
    <t xml:space="preserve">Per Produce </t>
  </si>
  <si>
    <t>Brinjals</t>
  </si>
  <si>
    <t>Chillies</t>
  </si>
  <si>
    <t>Spinach</t>
  </si>
  <si>
    <t>Gem squash</t>
  </si>
  <si>
    <t>Citi Fresh</t>
  </si>
  <si>
    <t>Broccoli</t>
  </si>
  <si>
    <t>Kale</t>
  </si>
  <si>
    <t>Execufruit</t>
  </si>
  <si>
    <t>Egoly</t>
  </si>
  <si>
    <t>Turbot</t>
  </si>
  <si>
    <t>CL Devillier</t>
  </si>
  <si>
    <t>Year Sales Data</t>
  </si>
  <si>
    <t>Cumulative Total</t>
  </si>
  <si>
    <t>Agents</t>
  </si>
  <si>
    <t>Brinjal</t>
  </si>
  <si>
    <t>Gem Squash</t>
  </si>
  <si>
    <t>Total</t>
  </si>
  <si>
    <t>Elysian Fields Farms</t>
  </si>
  <si>
    <t>Revenue</t>
  </si>
  <si>
    <t>RSA</t>
  </si>
  <si>
    <t>Cauliflower</t>
  </si>
  <si>
    <t>Lettuce</t>
  </si>
  <si>
    <t>CL De Villiers</t>
  </si>
  <si>
    <t>Farm</t>
  </si>
  <si>
    <t>Elysian</t>
  </si>
  <si>
    <t>Gideon</t>
  </si>
  <si>
    <t>Elysian Fields</t>
  </si>
  <si>
    <t>Produce Compared</t>
  </si>
  <si>
    <t>From</t>
  </si>
  <si>
    <t>November</t>
  </si>
  <si>
    <t>For the Year 2020</t>
  </si>
  <si>
    <t>Pertial Payments</t>
  </si>
  <si>
    <t xml:space="preserve">Agent </t>
  </si>
  <si>
    <t>Payment</t>
  </si>
  <si>
    <t>Received</t>
  </si>
  <si>
    <t>CL Villiers</t>
  </si>
  <si>
    <t>Row Labels</t>
  </si>
  <si>
    <t>Grand Total</t>
  </si>
  <si>
    <t>Sum of Qty Delivered</t>
  </si>
  <si>
    <t>Sum of Qty Sold</t>
  </si>
  <si>
    <t>Sum of Qty Unsold</t>
  </si>
  <si>
    <t>Sum of Qty Destroyed</t>
  </si>
  <si>
    <t>Sum of Gross</t>
  </si>
  <si>
    <t>DW Fresh</t>
  </si>
  <si>
    <t>susan@subtropico.co.za</t>
  </si>
  <si>
    <t>Email</t>
  </si>
  <si>
    <t>Contact</t>
  </si>
  <si>
    <t>denesha@subtropico.co.za</t>
  </si>
  <si>
    <t>Name</t>
  </si>
  <si>
    <t>Denesha</t>
  </si>
  <si>
    <t>CL Devilliers</t>
  </si>
  <si>
    <t>ExecuFresh</t>
  </si>
  <si>
    <t>Turbot/ Metro</t>
  </si>
  <si>
    <t>cldev.muller@telkomsa.net</t>
  </si>
  <si>
    <t>F: +27 11 613 5134</t>
  </si>
  <si>
    <t>T: +27 11 613 3618</t>
  </si>
  <si>
    <t>admin@wenpro.co.za / citifreshtrust@citifresh.co.za</t>
  </si>
  <si>
    <t>T: +27 11 613 4021</t>
  </si>
  <si>
    <t>F: +27 11 613 6997</t>
  </si>
  <si>
    <t>admin@dapper.co.za / janine@dapper.co.za</t>
  </si>
  <si>
    <t>admin@egoly.co.za / mthunzi@egoly.co.za</t>
  </si>
  <si>
    <t>T: +27 11 613 7256</t>
  </si>
  <si>
    <t>T: +27 11 613 6540</t>
  </si>
  <si>
    <t>T: +27 11 613 8673</t>
  </si>
  <si>
    <t>C: +27 78 143 9446</t>
  </si>
  <si>
    <t>T: +27 11 613 6101</t>
  </si>
  <si>
    <t>T: +27 11 613 2454</t>
  </si>
  <si>
    <t>excufruit@cybertrade.co.za / farmers@execufruit.co.za / admin@excufruit.co.za</t>
  </si>
  <si>
    <t>metroadmin@mwebbiz.co.za</t>
  </si>
  <si>
    <t>rsa</t>
  </si>
  <si>
    <t>Roy@rsa.co.za</t>
  </si>
  <si>
    <t>T: +27 11 613 4344</t>
  </si>
  <si>
    <t>F: +27 11 613 4352</t>
  </si>
  <si>
    <t>T: +27 11 613 5390/3 </t>
  </si>
  <si>
    <t>T: +27 11 613 5403</t>
  </si>
  <si>
    <t>F: +27 11 613 5403</t>
  </si>
  <si>
    <t>C: +27 12 460 9910</t>
  </si>
  <si>
    <t>Results</t>
  </si>
  <si>
    <t>Wenpro</t>
  </si>
  <si>
    <t>Metro</t>
  </si>
  <si>
    <t>Turnips</t>
  </si>
  <si>
    <t>Dapper Deductions</t>
  </si>
  <si>
    <t>Egoly Deductions</t>
  </si>
  <si>
    <t>Value</t>
  </si>
  <si>
    <t>Rate</t>
  </si>
  <si>
    <t>Amount</t>
  </si>
  <si>
    <t>VAT</t>
  </si>
  <si>
    <t>Market Commision</t>
  </si>
  <si>
    <t>Agent Comm</t>
  </si>
  <si>
    <t>Bank</t>
  </si>
  <si>
    <t>Total Comm</t>
  </si>
  <si>
    <t>WenPro</t>
  </si>
  <si>
    <t>Cl De Villiers</t>
  </si>
  <si>
    <t>Garlic</t>
  </si>
  <si>
    <t>Item</t>
  </si>
  <si>
    <t>Season</t>
  </si>
  <si>
    <t>Summer</t>
  </si>
  <si>
    <t>Winter</t>
  </si>
  <si>
    <t>All Season</t>
  </si>
  <si>
    <t>Qty Discard</t>
  </si>
  <si>
    <t>Average of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</si>
</sst>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&quot;* #,##0.00_-;\-&quot;R&quot;* #,##0.00_-;_-&quot;R&quot;* &quot;-&quot;??_-;_-@_-"/>
    <numFmt numFmtId="43" formatCode="_-* #,##0.00_-;\-* #,##0.00_-;_-* &quot;-&quot;??_-;_-@_-"/>
    <numFmt numFmtId="164" formatCode="[$-1C09]dd\ mmmm\ yyyy;@"/>
    <numFmt numFmtId="165" formatCode="mmmm\ yyyy"/>
    <numFmt numFmtId="166" formatCode="[$-F800]dddd\,\ mmmm\ dd\,\ yyyy"/>
    <numFmt numFmtId="167" formatCode="&quot;R&quot;#,##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haroni"/>
      <charset val="177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8"/>
      <color theme="1"/>
      <name val="Aharoni"/>
      <charset val="177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/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/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/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15" fontId="0" fillId="2" borderId="0" xfId="0" applyNumberFormat="1" applyFill="1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2" borderId="0" xfId="0" applyNumberFormat="1" applyFill="1"/>
    <xf numFmtId="44" fontId="0" fillId="0" borderId="0" xfId="0" applyNumberFormat="1"/>
    <xf numFmtId="0" fontId="6" fillId="0" borderId="0" xfId="0" applyFont="1"/>
    <xf numFmtId="15" fontId="4" fillId="2" borderId="0" xfId="0" applyNumberFormat="1" applyFont="1" applyFill="1"/>
    <xf numFmtId="44" fontId="4" fillId="2" borderId="0" xfId="0" applyNumberFormat="1" applyFont="1" applyFill="1"/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9" xfId="0" applyBorder="1"/>
    <xf numFmtId="0" fontId="4" fillId="0" borderId="9" xfId="0" applyFont="1" applyBorder="1"/>
    <xf numFmtId="0" fontId="0" fillId="0" borderId="3" xfId="0" applyBorder="1"/>
    <xf numFmtId="0" fontId="0" fillId="0" borderId="4" xfId="0" applyBorder="1"/>
    <xf numFmtId="165" fontId="8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3" fillId="0" borderId="0" xfId="0" applyFont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44" fontId="0" fillId="0" borderId="6" xfId="0" applyNumberFormat="1" applyBorder="1"/>
    <xf numFmtId="44" fontId="0" fillId="0" borderId="14" xfId="0" applyNumberFormat="1" applyBorder="1"/>
    <xf numFmtId="44" fontId="0" fillId="0" borderId="21" xfId="0" applyNumberFormat="1" applyBorder="1"/>
    <xf numFmtId="0" fontId="9" fillId="2" borderId="0" xfId="0" applyFont="1" applyFill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left"/>
    </xf>
    <xf numFmtId="165" fontId="0" fillId="4" borderId="0" xfId="0" applyNumberFormat="1" applyFill="1" applyAlignment="1">
      <alignment horizontal="center" vertical="center"/>
    </xf>
    <xf numFmtId="0" fontId="1" fillId="2" borderId="9" xfId="0" applyFont="1" applyFill="1" applyBorder="1" applyAlignment="1">
      <alignment horizontal="right"/>
    </xf>
    <xf numFmtId="0" fontId="9" fillId="2" borderId="9" xfId="0" applyFont="1" applyFill="1" applyBorder="1"/>
    <xf numFmtId="0" fontId="3" fillId="0" borderId="9" xfId="0" applyFont="1" applyBorder="1" applyAlignment="1">
      <alignment vertical="center"/>
    </xf>
    <xf numFmtId="0" fontId="3" fillId="0" borderId="9" xfId="0" applyFont="1" applyBorder="1"/>
    <xf numFmtId="0" fontId="0" fillId="2" borderId="9" xfId="0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5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44" fontId="4" fillId="2" borderId="0" xfId="0" applyNumberFormat="1" applyFont="1" applyFill="1" applyAlignment="1">
      <alignment wrapText="1"/>
    </xf>
    <xf numFmtId="0" fontId="1" fillId="0" borderId="9" xfId="0" applyFont="1" applyBorder="1"/>
    <xf numFmtId="0" fontId="0" fillId="5" borderId="0" xfId="0" applyFill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44" fontId="6" fillId="4" borderId="0" xfId="0" applyNumberFormat="1" applyFont="1" applyFill="1" applyAlignment="1">
      <alignment horizontal="left" vertical="center"/>
    </xf>
    <xf numFmtId="44" fontId="6" fillId="4" borderId="0" xfId="0" applyNumberFormat="1" applyFont="1" applyFill="1" applyAlignment="1">
      <alignment horizontal="left"/>
    </xf>
    <xf numFmtId="15" fontId="0" fillId="0" borderId="0" xfId="0" applyNumberFormat="1" applyAlignment="1">
      <alignment horizontal="center"/>
    </xf>
    <xf numFmtId="15" fontId="6" fillId="4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165" fontId="8" fillId="0" borderId="1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0" fillId="5" borderId="6" xfId="0" applyFill="1" applyBorder="1"/>
    <xf numFmtId="0" fontId="0" fillId="0" borderId="6" xfId="0" applyBorder="1"/>
    <xf numFmtId="44" fontId="0" fillId="0" borderId="6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0" fontId="11" fillId="2" borderId="0" xfId="0" applyFont="1" applyFill="1"/>
    <xf numFmtId="165" fontId="0" fillId="0" borderId="6" xfId="0" applyNumberFormat="1" applyBorder="1"/>
    <xf numFmtId="44" fontId="0" fillId="0" borderId="7" xfId="0" applyNumberFormat="1" applyBorder="1" applyAlignment="1">
      <alignment horizontal="center"/>
    </xf>
    <xf numFmtId="0" fontId="1" fillId="0" borderId="0" xfId="0" applyFont="1"/>
    <xf numFmtId="0" fontId="1" fillId="6" borderId="6" xfId="0" applyFont="1" applyFill="1" applyBorder="1" applyAlignment="1">
      <alignment horizontal="center" vertical="center"/>
    </xf>
    <xf numFmtId="44" fontId="1" fillId="6" borderId="6" xfId="0" applyNumberFormat="1" applyFont="1" applyFill="1" applyBorder="1" applyAlignment="1">
      <alignment horizontal="center" vertical="center"/>
    </xf>
    <xf numFmtId="44" fontId="1" fillId="6" borderId="6" xfId="0" applyNumberFormat="1" applyFont="1" applyFill="1" applyBorder="1" applyAlignment="1">
      <alignment vertical="center"/>
    </xf>
    <xf numFmtId="0" fontId="1" fillId="6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44" fontId="0" fillId="0" borderId="6" xfId="0" applyNumberFormat="1" applyBorder="1" applyAlignment="1">
      <alignment horizontal="center"/>
    </xf>
    <xf numFmtId="15" fontId="6" fillId="4" borderId="0" xfId="0" applyNumberFormat="1" applyFont="1" applyFill="1" applyAlignment="1">
      <alignment horizontal="center" vertical="center"/>
    </xf>
    <xf numFmtId="0" fontId="5" fillId="4" borderId="0" xfId="0" applyFont="1" applyFill="1"/>
    <xf numFmtId="15" fontId="4" fillId="4" borderId="0" xfId="0" applyNumberFormat="1" applyFont="1" applyFill="1" applyAlignment="1">
      <alignment wrapText="1"/>
    </xf>
    <xf numFmtId="0" fontId="4" fillId="4" borderId="0" xfId="0" applyFont="1" applyFill="1" applyAlignment="1">
      <alignment wrapText="1"/>
    </xf>
    <xf numFmtId="44" fontId="4" fillId="4" borderId="0" xfId="0" applyNumberFormat="1" applyFont="1" applyFill="1" applyAlignment="1">
      <alignment wrapText="1"/>
    </xf>
    <xf numFmtId="0" fontId="4" fillId="4" borderId="0" xfId="0" applyFont="1" applyFill="1"/>
    <xf numFmtId="0" fontId="13" fillId="4" borderId="0" xfId="0" applyFont="1" applyFill="1"/>
    <xf numFmtId="165" fontId="8" fillId="4" borderId="6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44" fontId="0" fillId="4" borderId="7" xfId="0" applyNumberForma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0" applyNumberFormat="1" applyFont="1" applyFill="1" applyAlignment="1">
      <alignment horizontal="center"/>
    </xf>
    <xf numFmtId="15" fontId="2" fillId="4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5" fontId="5" fillId="2" borderId="0" xfId="0" applyNumberFormat="1" applyFont="1" applyFill="1" applyAlignment="1">
      <alignment horizontal="left"/>
    </xf>
    <xf numFmtId="15" fontId="0" fillId="2" borderId="0" xfId="0" applyNumberFormat="1" applyFill="1" applyAlignment="1">
      <alignment horizontal="left"/>
    </xf>
    <xf numFmtId="4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 indent="1"/>
    </xf>
    <xf numFmtId="167" fontId="0" fillId="0" borderId="0" xfId="0" applyNumberFormat="1"/>
    <xf numFmtId="0" fontId="0" fillId="0" borderId="28" xfId="0" applyBorder="1"/>
    <xf numFmtId="0" fontId="14" fillId="0" borderId="28" xfId="1" applyFont="1" applyBorder="1"/>
    <xf numFmtId="0" fontId="16" fillId="0" borderId="28" xfId="0" applyFont="1" applyBorder="1"/>
    <xf numFmtId="0" fontId="16" fillId="0" borderId="0" xfId="0" applyFont="1"/>
    <xf numFmtId="3" fontId="16" fillId="0" borderId="28" xfId="0" applyNumberFormat="1" applyFont="1" applyBorder="1"/>
    <xf numFmtId="0" fontId="1" fillId="5" borderId="28" xfId="0" applyFont="1" applyFill="1" applyBorder="1"/>
    <xf numFmtId="44" fontId="6" fillId="4" borderId="0" xfId="0" applyNumberFormat="1" applyFont="1" applyFill="1" applyAlignment="1">
      <alignment horizontal="center"/>
    </xf>
    <xf numFmtId="44" fontId="6" fillId="4" borderId="2" xfId="0" applyNumberFormat="1" applyFont="1" applyFill="1" applyBorder="1"/>
    <xf numFmtId="44" fontId="6" fillId="4" borderId="0" xfId="0" applyNumberFormat="1" applyFont="1" applyFill="1"/>
    <xf numFmtId="0" fontId="6" fillId="4" borderId="0" xfId="0" applyFont="1" applyFill="1"/>
    <xf numFmtId="44" fontId="6" fillId="4" borderId="0" xfId="0" applyNumberFormat="1" applyFont="1" applyFill="1" applyAlignment="1">
      <alignment vertical="center"/>
    </xf>
    <xf numFmtId="0" fontId="6" fillId="4" borderId="0" xfId="0" applyFont="1" applyFill="1" applyAlignment="1">
      <alignment horizontal="center" vertical="center" wrapText="1"/>
    </xf>
    <xf numFmtId="0" fontId="1" fillId="3" borderId="32" xfId="0" applyFont="1" applyFill="1" applyBorder="1"/>
    <xf numFmtId="0" fontId="17" fillId="3" borderId="32" xfId="0" applyFont="1" applyFill="1" applyBorder="1" applyAlignment="1">
      <alignment horizontal="center"/>
    </xf>
    <xf numFmtId="0" fontId="0" fillId="3" borderId="32" xfId="0" applyFill="1" applyBorder="1"/>
    <xf numFmtId="0" fontId="0" fillId="3" borderId="32" xfId="0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44" fontId="0" fillId="3" borderId="0" xfId="0" applyNumberFormat="1" applyFill="1"/>
    <xf numFmtId="0" fontId="0" fillId="3" borderId="0" xfId="0" applyFill="1" applyAlignment="1">
      <alignment horizontal="center"/>
    </xf>
    <xf numFmtId="9" fontId="17" fillId="3" borderId="0" xfId="0" applyNumberFormat="1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44" fontId="1" fillId="3" borderId="0" xfId="0" applyNumberFormat="1" applyFont="1" applyFill="1"/>
    <xf numFmtId="0" fontId="17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Alignment="1">
      <alignment vertical="center"/>
    </xf>
    <xf numFmtId="0" fontId="6" fillId="4" borderId="0" xfId="0" applyFont="1" applyFill="1" applyProtection="1">
      <protection hidden="1"/>
    </xf>
    <xf numFmtId="0" fontId="1" fillId="5" borderId="28" xfId="0" applyFont="1" applyFill="1" applyBorder="1" applyAlignment="1">
      <alignment horizontal="center" vertical="center"/>
    </xf>
    <xf numFmtId="17" fontId="0" fillId="4" borderId="28" xfId="0" applyNumberFormat="1" applyFill="1" applyBorder="1" applyAlignment="1">
      <alignment horizontal="center" vertical="center"/>
    </xf>
    <xf numFmtId="0" fontId="1" fillId="5" borderId="29" xfId="0" applyFont="1" applyFill="1" applyBorder="1" applyAlignment="1">
      <alignment vertical="center"/>
    </xf>
    <xf numFmtId="0" fontId="1" fillId="5" borderId="28" xfId="0" applyFont="1" applyFill="1" applyBorder="1" applyAlignment="1">
      <alignment vertical="center"/>
    </xf>
    <xf numFmtId="17" fontId="0" fillId="4" borderId="28" xfId="0" applyNumberFormat="1" applyFill="1" applyBorder="1" applyAlignment="1">
      <alignment horizontal="center"/>
    </xf>
    <xf numFmtId="17" fontId="0" fillId="4" borderId="29" xfId="0" applyNumberFormat="1" applyFill="1" applyBorder="1"/>
    <xf numFmtId="43" fontId="1" fillId="5" borderId="28" xfId="2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/>
    </xf>
    <xf numFmtId="44" fontId="0" fillId="4" borderId="28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166" fontId="6" fillId="4" borderId="0" xfId="0" applyNumberFormat="1" applyFont="1" applyFill="1"/>
    <xf numFmtId="0" fontId="6" fillId="4" borderId="0" xfId="0" applyFont="1" applyFill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15" fontId="2" fillId="7" borderId="1" xfId="0" applyNumberFormat="1" applyFont="1" applyFill="1" applyBorder="1" applyAlignment="1">
      <alignment horizontal="left" vertical="center" wrapText="1"/>
    </xf>
    <xf numFmtId="164" fontId="2" fillId="7" borderId="1" xfId="0" applyNumberFormat="1" applyFont="1" applyFill="1" applyBorder="1" applyAlignment="1">
      <alignment horizontal="left" vertical="center" wrapText="1"/>
    </xf>
    <xf numFmtId="44" fontId="2" fillId="7" borderId="1" xfId="0" applyNumberFormat="1" applyFont="1" applyFill="1" applyBorder="1" applyAlignment="1">
      <alignment horizontal="left" vertical="center" wrapText="1"/>
    </xf>
    <xf numFmtId="44" fontId="0" fillId="4" borderId="28" xfId="0" applyNumberForma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35">
    <dxf>
      <fill>
        <patternFill>
          <bgColor rgb="FF00B050"/>
        </patternFill>
      </fill>
    </dxf>
    <dxf>
      <numFmt numFmtId="34" formatCode="_-&quot;R&quot;* #,##0.00_-;\-&quot;R&quot;* #,##0.00_-;_-&quot;R&quot;* &quot;-&quot;??_-;_-@_-"/>
    </dxf>
    <dxf>
      <numFmt numFmtId="34" formatCode="_-&quot;R&quot;* #,##0.00_-;\-&quot;R&quot;* #,##0.00_-;_-&quot;R&quot;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20" formatCode="dd\-mmm\-yy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20" formatCode="dd\-mmm\-yy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family val="2"/>
      </font>
      <fill>
        <patternFill>
          <bgColor theme="0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family val="2"/>
      </font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theme="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4" formatCode="_-&quot;R&quot;* #,##0.00_-;\-&quot;R&quot;* #,##0.00_-;_-&quot;R&quot;* &quot;-&quot;??_-;_-@_-"/>
    </dxf>
    <dxf>
      <numFmt numFmtId="167" formatCode="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Graph'!$C$9</c:f>
              <c:strCache>
                <c:ptCount val="1"/>
                <c:pt idx="0">
                  <c:v>Total Sales Qty (box)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'Sales Graph'!$B$10:$B$21</c:f>
              <c:numCache>
                <c:formatCode>mmmm\ yyyy</c:formatCode>
                <c:ptCount val="12"/>
                <c:pt idx="0">
                  <c:v>44136</c:v>
                </c:pt>
                <c:pt idx="1">
                  <c:v>44166</c:v>
                </c:pt>
                <c:pt idx="2">
                  <c:v>44197</c:v>
                </c:pt>
                <c:pt idx="3">
                  <c:v>44228</c:v>
                </c:pt>
                <c:pt idx="4">
                  <c:v>44256</c:v>
                </c:pt>
                <c:pt idx="5">
                  <c:v>44287</c:v>
                </c:pt>
                <c:pt idx="6">
                  <c:v>44317</c:v>
                </c:pt>
                <c:pt idx="7">
                  <c:v>44348</c:v>
                </c:pt>
                <c:pt idx="8">
                  <c:v>44378</c:v>
                </c:pt>
                <c:pt idx="9">
                  <c:v>44409</c:v>
                </c:pt>
                <c:pt idx="10">
                  <c:v>44440</c:v>
                </c:pt>
                <c:pt idx="11">
                  <c:v>44470</c:v>
                </c:pt>
              </c:numCache>
            </c:numRef>
          </c:cat>
          <c:val>
            <c:numRef>
              <c:f>'Sales Graph'!$C$10:$C$21</c:f>
              <c:numCache>
                <c:formatCode>General</c:formatCode>
                <c:ptCount val="12"/>
                <c:pt idx="0">
                  <c:v>769</c:v>
                </c:pt>
                <c:pt idx="1">
                  <c:v>8717</c:v>
                </c:pt>
                <c:pt idx="2">
                  <c:v>7514</c:v>
                </c:pt>
                <c:pt idx="3">
                  <c:v>176</c:v>
                </c:pt>
                <c:pt idx="4">
                  <c:v>207</c:v>
                </c:pt>
                <c:pt idx="5">
                  <c:v>176</c:v>
                </c:pt>
                <c:pt idx="6">
                  <c:v>593</c:v>
                </c:pt>
                <c:pt idx="7">
                  <c:v>168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D-4200-A1F7-A9967B7C5D85}"/>
            </c:ext>
          </c:extLst>
        </c:ser>
        <c:ser>
          <c:idx val="1"/>
          <c:order val="1"/>
          <c:tx>
            <c:strRef>
              <c:f>'Sales Graph'!$D$9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0961859824531889E-3"/>
                  <c:y val="-1.33086897662042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20-4840-A11B-3C8B3C866936}"/>
                </c:ext>
              </c:extLst>
            </c:dLbl>
            <c:dLbl>
              <c:idx val="5"/>
              <c:layout>
                <c:manualLayout>
                  <c:x val="0"/>
                  <c:y val="-2.34667106847137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20-4840-A11B-3C8B3C8669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'Sales Graph'!$B$10:$B$21</c:f>
              <c:numCache>
                <c:formatCode>mmmm\ yyyy</c:formatCode>
                <c:ptCount val="12"/>
                <c:pt idx="0">
                  <c:v>44136</c:v>
                </c:pt>
                <c:pt idx="1">
                  <c:v>44166</c:v>
                </c:pt>
                <c:pt idx="2">
                  <c:v>44197</c:v>
                </c:pt>
                <c:pt idx="3">
                  <c:v>44228</c:v>
                </c:pt>
                <c:pt idx="4">
                  <c:v>44256</c:v>
                </c:pt>
                <c:pt idx="5">
                  <c:v>44287</c:v>
                </c:pt>
                <c:pt idx="6">
                  <c:v>44317</c:v>
                </c:pt>
                <c:pt idx="7">
                  <c:v>44348</c:v>
                </c:pt>
                <c:pt idx="8">
                  <c:v>44378</c:v>
                </c:pt>
                <c:pt idx="9">
                  <c:v>44409</c:v>
                </c:pt>
                <c:pt idx="10">
                  <c:v>44440</c:v>
                </c:pt>
                <c:pt idx="11">
                  <c:v>44470</c:v>
                </c:pt>
              </c:numCache>
            </c:numRef>
          </c:cat>
          <c:val>
            <c:numRef>
              <c:f>'Sales Graph'!$D$10:$D$21</c:f>
              <c:numCache>
                <c:formatCode>_("R"* #,##0.00_);_("R"* \(#,##0.00\);_("R"* "-"??_);_(@_)</c:formatCode>
                <c:ptCount val="12"/>
                <c:pt idx="0">
                  <c:v>29776.782500000001</c:v>
                </c:pt>
                <c:pt idx="1">
                  <c:v>243570.34400000004</c:v>
                </c:pt>
                <c:pt idx="2">
                  <c:v>143637.71100000004</c:v>
                </c:pt>
                <c:pt idx="3">
                  <c:v>7738.4074999999984</c:v>
                </c:pt>
                <c:pt idx="4">
                  <c:v>8185.8799999999992</c:v>
                </c:pt>
                <c:pt idx="5">
                  <c:v>4295.8024999999998</c:v>
                </c:pt>
                <c:pt idx="6">
                  <c:v>29615.599999999999</c:v>
                </c:pt>
                <c:pt idx="7">
                  <c:v>7936.72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D-4200-A1F7-A9967B7C5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56928"/>
        <c:axId val="1163258240"/>
      </c:barChart>
      <c:dateAx>
        <c:axId val="1163256928"/>
        <c:scaling>
          <c:orientation val="minMax"/>
        </c:scaling>
        <c:delete val="0"/>
        <c:axPos val="b"/>
        <c:numFmt formatCode="m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8240"/>
        <c:crosses val="autoZero"/>
        <c:auto val="1"/>
        <c:lblOffset val="100"/>
        <c:baseTimeUnit val="months"/>
      </c:dateAx>
      <c:valAx>
        <c:axId val="1163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'Produce Compared'!$C$5</c:f>
              <c:strCache>
                <c:ptCount val="1"/>
                <c:pt idx="0">
                  <c:v>Qty Delivered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'Produce Compared'!$B$6:$B$12</c:f>
              <c:strCache>
                <c:ptCount val="7"/>
                <c:pt idx="0">
                  <c:v>Green Pepper</c:v>
                </c:pt>
                <c:pt idx="1">
                  <c:v>Broccoli</c:v>
                </c:pt>
                <c:pt idx="2">
                  <c:v>Brinjals</c:v>
                </c:pt>
                <c:pt idx="3">
                  <c:v>Chillies</c:v>
                </c:pt>
                <c:pt idx="4">
                  <c:v>Kale</c:v>
                </c:pt>
                <c:pt idx="5">
                  <c:v>Spinach</c:v>
                </c:pt>
                <c:pt idx="6">
                  <c:v>Gem Squash</c:v>
                </c:pt>
              </c:strCache>
            </c:strRef>
          </c:cat>
          <c:val>
            <c:numRef>
              <c:f>'Produce Compared'!$C$6:$C$12</c:f>
              <c:numCache>
                <c:formatCode>General</c:formatCode>
                <c:ptCount val="7"/>
                <c:pt idx="0">
                  <c:v>12365</c:v>
                </c:pt>
                <c:pt idx="1">
                  <c:v>8976</c:v>
                </c:pt>
                <c:pt idx="2">
                  <c:v>7330</c:v>
                </c:pt>
                <c:pt idx="3">
                  <c:v>6098</c:v>
                </c:pt>
                <c:pt idx="4">
                  <c:v>2140</c:v>
                </c:pt>
                <c:pt idx="5">
                  <c:v>3945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A-46CF-BA99-4E0BB2AE557A}"/>
            </c:ext>
          </c:extLst>
        </c:ser>
        <c:ser>
          <c:idx val="1"/>
          <c:order val="1"/>
          <c:tx>
            <c:strRef>
              <c:f>'Produce Compared'!$D$5</c:f>
              <c:strCache>
                <c:ptCount val="1"/>
                <c:pt idx="0">
                  <c:v>Qty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'Produce Compared'!$B$6:$B$12</c:f>
              <c:strCache>
                <c:ptCount val="7"/>
                <c:pt idx="0">
                  <c:v>Green Pepper</c:v>
                </c:pt>
                <c:pt idx="1">
                  <c:v>Broccoli</c:v>
                </c:pt>
                <c:pt idx="2">
                  <c:v>Brinjals</c:v>
                </c:pt>
                <c:pt idx="3">
                  <c:v>Chillies</c:v>
                </c:pt>
                <c:pt idx="4">
                  <c:v>Kale</c:v>
                </c:pt>
                <c:pt idx="5">
                  <c:v>Spinach</c:v>
                </c:pt>
                <c:pt idx="6">
                  <c:v>Gem Squash</c:v>
                </c:pt>
              </c:strCache>
            </c:strRef>
          </c:cat>
          <c:val>
            <c:numRef>
              <c:f>'Produce Compared'!$D$6:$D$12</c:f>
              <c:numCache>
                <c:formatCode>General</c:formatCode>
                <c:ptCount val="7"/>
                <c:pt idx="0">
                  <c:v>10887</c:v>
                </c:pt>
                <c:pt idx="1">
                  <c:v>8250</c:v>
                </c:pt>
                <c:pt idx="2">
                  <c:v>5611</c:v>
                </c:pt>
                <c:pt idx="3">
                  <c:v>5189</c:v>
                </c:pt>
                <c:pt idx="4">
                  <c:v>1788</c:v>
                </c:pt>
                <c:pt idx="5">
                  <c:v>960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A-46CF-BA99-4E0BB2AE557A}"/>
            </c:ext>
          </c:extLst>
        </c:ser>
        <c:ser>
          <c:idx val="2"/>
          <c:order val="2"/>
          <c:tx>
            <c:strRef>
              <c:f>'Produce Compared'!$E$5</c:f>
              <c:strCache>
                <c:ptCount val="1"/>
                <c:pt idx="0">
                  <c:v>Qty Dischard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'Produce Compared'!$B$6:$B$12</c:f>
              <c:strCache>
                <c:ptCount val="7"/>
                <c:pt idx="0">
                  <c:v>Green Pepper</c:v>
                </c:pt>
                <c:pt idx="1">
                  <c:v>Broccoli</c:v>
                </c:pt>
                <c:pt idx="2">
                  <c:v>Brinjals</c:v>
                </c:pt>
                <c:pt idx="3">
                  <c:v>Chillies</c:v>
                </c:pt>
                <c:pt idx="4">
                  <c:v>Kale</c:v>
                </c:pt>
                <c:pt idx="5">
                  <c:v>Spinach</c:v>
                </c:pt>
                <c:pt idx="6">
                  <c:v>Gem Squash</c:v>
                </c:pt>
              </c:strCache>
            </c:strRef>
          </c:cat>
          <c:val>
            <c:numRef>
              <c:f>'Produce Compared'!$E$6:$E$12</c:f>
              <c:numCache>
                <c:formatCode>General</c:formatCode>
                <c:ptCount val="7"/>
                <c:pt idx="0">
                  <c:v>268</c:v>
                </c:pt>
                <c:pt idx="1">
                  <c:v>704</c:v>
                </c:pt>
                <c:pt idx="2">
                  <c:v>716</c:v>
                </c:pt>
                <c:pt idx="3">
                  <c:v>963</c:v>
                </c:pt>
                <c:pt idx="4">
                  <c:v>352</c:v>
                </c:pt>
                <c:pt idx="5">
                  <c:v>2983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A-46CF-BA99-4E0BB2AE55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8658104"/>
        <c:axId val="848663680"/>
      </c:barChart>
      <c:catAx>
        <c:axId val="84865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63680"/>
        <c:crosses val="autoZero"/>
        <c:auto val="1"/>
        <c:lblAlgn val="ctr"/>
        <c:lblOffset val="100"/>
        <c:noMultiLvlLbl val="0"/>
      </c:catAx>
      <c:valAx>
        <c:axId val="8486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5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27599547952719E-2"/>
          <c:y val="0.1011912796614709"/>
          <c:w val="0.91755187684288408"/>
          <c:h val="0.686575606620601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533-4EA8-BCCC-668E8C6F1E1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533-4EA8-BCCC-668E8C6F1E1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3533-4EA8-BCCC-668E8C6F1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1894024"/>
        <c:axId val="731899600"/>
      </c:barChart>
      <c:catAx>
        <c:axId val="73189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899600"/>
        <c:crosses val="autoZero"/>
        <c:auto val="1"/>
        <c:lblAlgn val="ctr"/>
        <c:lblOffset val="100"/>
        <c:noMultiLvlLbl val="0"/>
      </c:catAx>
      <c:valAx>
        <c:axId val="7318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89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00088716119463"/>
          <c:y val="0.88520327816165834"/>
          <c:w val="0.3539982256776108"/>
          <c:h val="0.11479672183834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E17-4484-92A3-870C3892D7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E17-4484-92A3-870C3892D7A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3E17-4484-92A3-870C3892D7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827472"/>
        <c:axId val="772830096"/>
      </c:barChart>
      <c:catAx>
        <c:axId val="7728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30096"/>
        <c:crosses val="autoZero"/>
        <c:auto val="1"/>
        <c:lblAlgn val="ctr"/>
        <c:lblOffset val="100"/>
        <c:noMultiLvlLbl val="0"/>
      </c:catAx>
      <c:valAx>
        <c:axId val="7728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B77-4FF5-9E8F-2FED3C4D510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CB77-4FF5-9E8F-2FED3C4D510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CB77-4FF5-9E8F-2FED3C4D5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0912728"/>
        <c:axId val="670910760"/>
      </c:barChart>
      <c:catAx>
        <c:axId val="67091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10760"/>
        <c:crosses val="autoZero"/>
        <c:auto val="1"/>
        <c:lblAlgn val="ctr"/>
        <c:lblOffset val="100"/>
        <c:noMultiLvlLbl val="0"/>
      </c:catAx>
      <c:valAx>
        <c:axId val="6709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1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E8D-49C6-8EFC-02FBFD557DB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E8D-49C6-8EFC-02FBFD557DB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E8D-49C6-8EFC-02FBFD557D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830424"/>
        <c:axId val="772827800"/>
      </c:barChart>
      <c:catAx>
        <c:axId val="77283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27800"/>
        <c:crosses val="autoZero"/>
        <c:auto val="1"/>
        <c:lblAlgn val="ctr"/>
        <c:lblOffset val="100"/>
        <c:noMultiLvlLbl val="0"/>
      </c:catAx>
      <c:valAx>
        <c:axId val="77282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3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27599547952719E-2"/>
          <c:y val="0.1011912796614709"/>
          <c:w val="0.91755187684288408"/>
          <c:h val="0.686575606620601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EA3-4F2C-85A8-84E1100C5D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EA3-4F2C-85A8-84E1100C5DF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3EA3-4F2C-85A8-84E1100C5D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1894024"/>
        <c:axId val="731899600"/>
      </c:barChart>
      <c:catAx>
        <c:axId val="73189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899600"/>
        <c:crosses val="autoZero"/>
        <c:auto val="1"/>
        <c:lblAlgn val="ctr"/>
        <c:lblOffset val="100"/>
        <c:noMultiLvlLbl val="0"/>
      </c:catAx>
      <c:valAx>
        <c:axId val="7318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89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00088716119463"/>
          <c:y val="0.88520327816165834"/>
          <c:w val="0.3539982256776108"/>
          <c:h val="0.11479672183834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D52-4EA5-8816-7105562385C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BD52-4EA5-8816-7105562385C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BD52-4EA5-8816-7105562385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827472"/>
        <c:axId val="772830096"/>
      </c:barChart>
      <c:catAx>
        <c:axId val="7728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30096"/>
        <c:crosses val="autoZero"/>
        <c:auto val="1"/>
        <c:lblAlgn val="ctr"/>
        <c:lblOffset val="100"/>
        <c:noMultiLvlLbl val="0"/>
      </c:catAx>
      <c:valAx>
        <c:axId val="7728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9C1-4486-BEEC-5DDCB95D655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9C1-4486-BEEC-5DDCB95D655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'Agents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'Agents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9C1-4486-BEEC-5DDCB95D65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0912728"/>
        <c:axId val="670910760"/>
      </c:barChart>
      <c:catAx>
        <c:axId val="67091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10760"/>
        <c:crosses val="autoZero"/>
        <c:auto val="1"/>
        <c:lblAlgn val="ctr"/>
        <c:lblOffset val="100"/>
        <c:noMultiLvlLbl val="0"/>
      </c:catAx>
      <c:valAx>
        <c:axId val="6709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1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9DF-4996-8ADA-376945802A5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9DF-4996-8ADA-376945802A5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9DF-4996-8ADA-376945802A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830424"/>
        <c:axId val="772827800"/>
      </c:barChart>
      <c:catAx>
        <c:axId val="77283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27800"/>
        <c:crosses val="autoZero"/>
        <c:auto val="1"/>
        <c:lblAlgn val="ctr"/>
        <c:lblOffset val="100"/>
        <c:noMultiLvlLbl val="0"/>
      </c:catAx>
      <c:valAx>
        <c:axId val="77282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3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C4E-472C-B8F2-1C5AFB03255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C4E-472C-B8F2-1C5AFB03255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C4E-472C-B8F2-1C5AFB03255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C4E-472C-B8F2-1C5AFB0325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335296"/>
        <c:axId val="1306329720"/>
      </c:barChart>
      <c:catAx>
        <c:axId val="13063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29720"/>
        <c:crosses val="autoZero"/>
        <c:auto val="1"/>
        <c:lblAlgn val="ctr"/>
        <c:lblOffset val="100"/>
        <c:noMultiLvlLbl val="0"/>
      </c:catAx>
      <c:valAx>
        <c:axId val="130632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1E6-4C4D-88B8-627D16AACE7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1E6-4C4D-88B8-627D16AACE7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1E6-4C4D-88B8-627D16AACE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6495416"/>
        <c:axId val="736497384"/>
      </c:barChart>
      <c:catAx>
        <c:axId val="73649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97384"/>
        <c:crosses val="autoZero"/>
        <c:auto val="1"/>
        <c:lblAlgn val="ctr"/>
        <c:lblOffset val="100"/>
        <c:noMultiLvlLbl val="0"/>
      </c:catAx>
      <c:valAx>
        <c:axId val="73649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9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Graph'!$C$9</c:f>
              <c:strCache>
                <c:ptCount val="1"/>
                <c:pt idx="0">
                  <c:v>Total Sales Qty (box)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'Sales Graph'!$B$10:$B$16</c:f>
              <c:numCache>
                <c:formatCode>mmmm\ yyyy</c:formatCode>
                <c:ptCount val="7"/>
                <c:pt idx="0">
                  <c:v>44136</c:v>
                </c:pt>
                <c:pt idx="1">
                  <c:v>44166</c:v>
                </c:pt>
                <c:pt idx="2">
                  <c:v>44197</c:v>
                </c:pt>
                <c:pt idx="3">
                  <c:v>44228</c:v>
                </c:pt>
                <c:pt idx="4">
                  <c:v>44256</c:v>
                </c:pt>
                <c:pt idx="5">
                  <c:v>44287</c:v>
                </c:pt>
                <c:pt idx="6">
                  <c:v>44317</c:v>
                </c:pt>
              </c:numCache>
            </c:numRef>
          </c:cat>
          <c:val>
            <c:numRef>
              <c:f>'Sales Graph'!$C$10:$C$16</c:f>
              <c:numCache>
                <c:formatCode>General</c:formatCode>
                <c:ptCount val="7"/>
                <c:pt idx="0">
                  <c:v>769</c:v>
                </c:pt>
                <c:pt idx="1">
                  <c:v>8717</c:v>
                </c:pt>
                <c:pt idx="2">
                  <c:v>7514</c:v>
                </c:pt>
                <c:pt idx="3">
                  <c:v>176</c:v>
                </c:pt>
                <c:pt idx="4">
                  <c:v>207</c:v>
                </c:pt>
                <c:pt idx="5">
                  <c:v>176</c:v>
                </c:pt>
                <c:pt idx="6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8-4393-BDCD-0BB5B454B320}"/>
            </c:ext>
          </c:extLst>
        </c:ser>
        <c:ser>
          <c:idx val="1"/>
          <c:order val="1"/>
          <c:tx>
            <c:strRef>
              <c:f>'Sales Graph'!$D$9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'Sales Graph'!$B$10:$B$16</c:f>
              <c:numCache>
                <c:formatCode>mmmm\ yyyy</c:formatCode>
                <c:ptCount val="7"/>
                <c:pt idx="0">
                  <c:v>44136</c:v>
                </c:pt>
                <c:pt idx="1">
                  <c:v>44166</c:v>
                </c:pt>
                <c:pt idx="2">
                  <c:v>44197</c:v>
                </c:pt>
                <c:pt idx="3">
                  <c:v>44228</c:v>
                </c:pt>
                <c:pt idx="4">
                  <c:v>44256</c:v>
                </c:pt>
                <c:pt idx="5">
                  <c:v>44287</c:v>
                </c:pt>
                <c:pt idx="6">
                  <c:v>44317</c:v>
                </c:pt>
              </c:numCache>
            </c:numRef>
          </c:cat>
          <c:val>
            <c:numRef>
              <c:f>'Sales Graph'!$D$10:$D$16</c:f>
              <c:numCache>
                <c:formatCode>_("R"* #,##0.00_);_("R"* \(#,##0.00\);_("R"* "-"??_);_(@_)</c:formatCode>
                <c:ptCount val="7"/>
                <c:pt idx="0">
                  <c:v>29776.782500000001</c:v>
                </c:pt>
                <c:pt idx="1">
                  <c:v>243570.34400000004</c:v>
                </c:pt>
                <c:pt idx="2">
                  <c:v>143637.71100000004</c:v>
                </c:pt>
                <c:pt idx="3">
                  <c:v>7738.4074999999984</c:v>
                </c:pt>
                <c:pt idx="4">
                  <c:v>8185.8799999999992</c:v>
                </c:pt>
                <c:pt idx="5">
                  <c:v>4295.8024999999998</c:v>
                </c:pt>
                <c:pt idx="6">
                  <c:v>29615.599999999999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98-4393-BDCD-0BB5B454B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56928"/>
        <c:axId val="1163258240"/>
      </c:barChart>
      <c:dateAx>
        <c:axId val="1163256928"/>
        <c:scaling>
          <c:orientation val="minMax"/>
        </c:scaling>
        <c:delete val="0"/>
        <c:axPos val="b"/>
        <c:numFmt formatCode="m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8240"/>
        <c:crosses val="autoZero"/>
        <c:auto val="1"/>
        <c:lblOffset val="100"/>
        <c:baseTimeUnit val="months"/>
      </c:dateAx>
      <c:valAx>
        <c:axId val="1163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5A0-4A78-9BBA-9FE2619564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C5A0-4A78-9BBA-9FE26195643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C5A0-4A78-9BBA-9FE26195643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C5A0-4A78-9BBA-9FE2619564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335296"/>
        <c:axId val="1306329720"/>
      </c:barChart>
      <c:catAx>
        <c:axId val="13063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29720"/>
        <c:crosses val="autoZero"/>
        <c:auto val="1"/>
        <c:lblAlgn val="ctr"/>
        <c:lblOffset val="100"/>
        <c:noMultiLvlLbl val="0"/>
      </c:catAx>
      <c:valAx>
        <c:axId val="130632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5DB-48BF-BA50-1DE68258F33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55DB-48BF-BA50-1DE68258F33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'Sales Graph'!#REF!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'Sales Graph'!#REF!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55DB-48BF-BA50-1DE68258F3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6495416"/>
        <c:axId val="736497384"/>
      </c:barChart>
      <c:catAx>
        <c:axId val="73649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97384"/>
        <c:crosses val="autoZero"/>
        <c:auto val="1"/>
        <c:lblAlgn val="ctr"/>
        <c:lblOffset val="100"/>
        <c:noMultiLvlLbl val="0"/>
      </c:catAx>
      <c:valAx>
        <c:axId val="73649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9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Yearly!$C$9</c:f>
              <c:strCache>
                <c:ptCount val="1"/>
                <c:pt idx="0">
                  <c:v>Total Sales Qty (box)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Yearly!$B$10:$B$20</c:f>
              <c:numCache>
                <c:formatCode>mmmm\ yyyy</c:formatCode>
                <c:ptCount val="1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</c:numCache>
            </c:numRef>
          </c:cat>
          <c:val>
            <c:numRef>
              <c:f>Yearly!$C$10:$C$20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6-4525-8383-B198BCA544E2}"/>
            </c:ext>
          </c:extLst>
        </c:ser>
        <c:ser>
          <c:idx val="1"/>
          <c:order val="1"/>
          <c:tx>
            <c:strRef>
              <c:f>Yearly!$D$9</c:f>
              <c:strCache>
                <c:ptCount val="1"/>
                <c:pt idx="0">
                  <c:v>Cumulative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Yearly!$B$10:$B$20</c:f>
              <c:numCache>
                <c:formatCode>mmmm\ yyyy</c:formatCode>
                <c:ptCount val="1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</c:numCache>
            </c:numRef>
          </c:cat>
          <c:val>
            <c:numRef>
              <c:f>Yearly!$D$10:$D$20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6-4525-8383-B198BCA54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56928"/>
        <c:axId val="1163258240"/>
      </c:barChart>
      <c:dateAx>
        <c:axId val="1163256928"/>
        <c:scaling>
          <c:orientation val="minMax"/>
        </c:scaling>
        <c:delete val="0"/>
        <c:axPos val="b"/>
        <c:numFmt formatCode="m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8240"/>
        <c:crosses val="autoZero"/>
        <c:auto val="1"/>
        <c:lblOffset val="100"/>
        <c:baseTimeUnit val="months"/>
      </c:dateAx>
      <c:valAx>
        <c:axId val="1163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5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168088</xdr:rowOff>
    </xdr:from>
    <xdr:to>
      <xdr:col>14</xdr:col>
      <xdr:colOff>495300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9546FE-5CDC-425A-B971-D37FE6B81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4</xdr:row>
      <xdr:rowOff>38100</xdr:rowOff>
    </xdr:from>
    <xdr:to>
      <xdr:col>16</xdr:col>
      <xdr:colOff>169333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DE484-7954-4C56-AC48-D55284F33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7</xdr:row>
      <xdr:rowOff>19050</xdr:rowOff>
    </xdr:from>
    <xdr:to>
      <xdr:col>14</xdr:col>
      <xdr:colOff>600074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A3DB8-2F16-4DA0-8A69-1B4B68298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15</xdr:row>
      <xdr:rowOff>171450</xdr:rowOff>
    </xdr:from>
    <xdr:to>
      <xdr:col>14</xdr:col>
      <xdr:colOff>600075</xdr:colOff>
      <xdr:row>23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832256-7F40-4B6B-8BE7-FE0731284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24</xdr:row>
      <xdr:rowOff>180975</xdr:rowOff>
    </xdr:from>
    <xdr:to>
      <xdr:col>14</xdr:col>
      <xdr:colOff>590550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6E5079-6910-4654-9232-10AD35672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238124</xdr:colOff>
      <xdr:row>32</xdr:row>
      <xdr:rowOff>9525</xdr:rowOff>
    </xdr:from>
    <xdr:to>
      <xdr:col>14</xdr:col>
      <xdr:colOff>600074</xdr:colOff>
      <xdr:row>37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1D4DD7-A6F8-4C28-AF92-C09935C7B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7</xdr:row>
      <xdr:rowOff>19050</xdr:rowOff>
    </xdr:from>
    <xdr:to>
      <xdr:col>14</xdr:col>
      <xdr:colOff>600074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1A5DE-9671-43D7-824A-90A8D11DA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15</xdr:row>
      <xdr:rowOff>171450</xdr:rowOff>
    </xdr:from>
    <xdr:to>
      <xdr:col>14</xdr:col>
      <xdr:colOff>600075</xdr:colOff>
      <xdr:row>23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3062C-A8D2-4BF6-836D-A8A5D69BA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24</xdr:row>
      <xdr:rowOff>180975</xdr:rowOff>
    </xdr:from>
    <xdr:to>
      <xdr:col>14</xdr:col>
      <xdr:colOff>590550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27954-0326-4EA8-9C16-6CE73C985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238124</xdr:colOff>
      <xdr:row>32</xdr:row>
      <xdr:rowOff>9525</xdr:rowOff>
    </xdr:from>
    <xdr:to>
      <xdr:col>14</xdr:col>
      <xdr:colOff>600074</xdr:colOff>
      <xdr:row>37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83F23E-DAA1-4FE1-B1B6-97CCE9E76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111419</xdr:colOff>
      <xdr:row>23</xdr:row>
      <xdr:rowOff>134472</xdr:rowOff>
    </xdr:from>
    <xdr:to>
      <xdr:col>11</xdr:col>
      <xdr:colOff>291353</xdr:colOff>
      <xdr:row>38</xdr:row>
      <xdr:rowOff>118063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C494A-D935-4FA1-A78C-FC6D0BFB7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133349</xdr:colOff>
      <xdr:row>48</xdr:row>
      <xdr:rowOff>62753</xdr:rowOff>
    </xdr:from>
    <xdr:to>
      <xdr:col>11</xdr:col>
      <xdr:colOff>438150</xdr:colOff>
      <xdr:row>69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CA8300-A1DF-43C7-A888-A4D5CDEAA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509865</xdr:colOff>
      <xdr:row>3</xdr:row>
      <xdr:rowOff>168088</xdr:rowOff>
    </xdr:from>
    <xdr:to>
      <xdr:col>11</xdr:col>
      <xdr:colOff>459442</xdr:colOff>
      <xdr:row>14</xdr:row>
      <xdr:rowOff>49305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0742B4-50E0-40AB-8427-BD578E36F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101894</xdr:colOff>
      <xdr:row>32</xdr:row>
      <xdr:rowOff>134472</xdr:rowOff>
    </xdr:from>
    <xdr:to>
      <xdr:col>11</xdr:col>
      <xdr:colOff>495300</xdr:colOff>
      <xdr:row>47</xdr:row>
      <xdr:rowOff>118063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DF14A-5BB1-403A-A8EB-6A6F50036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47624</xdr:colOff>
      <xdr:row>57</xdr:row>
      <xdr:rowOff>72278</xdr:rowOff>
    </xdr:from>
    <xdr:to>
      <xdr:col>11</xdr:col>
      <xdr:colOff>485775</xdr:colOff>
      <xdr:row>78</xdr:row>
      <xdr:rowOff>121584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7F0AFD-74BD-4A3C-814A-BBC23EDC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509865</xdr:colOff>
      <xdr:row>3</xdr:row>
      <xdr:rowOff>168088</xdr:rowOff>
    </xdr:from>
    <xdr:to>
      <xdr:col>11</xdr:col>
      <xdr:colOff>459442</xdr:colOff>
      <xdr:row>23</xdr:row>
      <xdr:rowOff>49305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D0A85-C67B-4E58-9958-09049115A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kosana Molefe" id="{C5646207-D7FF-45CD-A280-8D11395B9669}" userId="Nkosana Molefe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kosana Molefe" refreshedDate="44242.582450578702" createdVersion="6" refreshedVersion="6" minRefreshableVersion="3" recordCount="263" xr:uid="{1F96B1B7-B3E6-4636-96F6-65F0F7D642D2}">
  <cacheSource type="worksheet">
    <worksheetSource name="Data"/>
  </cacheSource>
  <cacheFields count="14">
    <cacheField name="Delivery Cost " numFmtId="0">
      <sharedItems containsString="0" containsBlank="1" containsNumber="1" containsInteger="1" minValue="1250" maxValue="2875"/>
    </cacheField>
    <cacheField name="Produce DN" numFmtId="0">
      <sharedItems containsString="0" containsBlank="1" containsNumber="1" containsInteger="1" minValue="4504" maxValue="5260009"/>
    </cacheField>
    <cacheField name="Date" numFmtId="15">
      <sharedItems containsSemiMixedTypes="0" containsNonDate="0" containsDate="1" containsString="0" minDate="2018-05-17T00:00:00" maxDate="2021-02-05T00:00:00" count="134">
        <d v="2018-05-17T00:00:00"/>
        <d v="2020-01-19T00:00:00"/>
        <d v="2020-01-02T00:00:00"/>
        <d v="2020-01-06T00:00:00"/>
        <d v="2020-01-08T00:00:00"/>
        <d v="2020-01-13T00:00:00"/>
        <d v="2020-01-15T00:00:00"/>
        <d v="2020-01-20T00:00:00"/>
        <d v="2020-01-21T00:00:00"/>
        <d v="2020-01-22T00:00:00"/>
        <d v="2020-01-23T00:00:00"/>
        <d v="2020-01-26T00:00:00"/>
        <d v="2020-01-27T00:00:00"/>
        <d v="2020-01-28T00:00:00"/>
        <d v="2020-01-29T00:00:00"/>
        <d v="2020-01-30T00:00:00"/>
        <d v="2020-02-02T00:00:00"/>
        <d v="2020-02-03T00:00:00"/>
        <d v="2020-02-04T00:00:00"/>
        <d v="2020-02-05T00:00:00"/>
        <d v="2020-02-06T00:00:00"/>
        <d v="2020-02-10T00:00:00"/>
        <d v="2020-02-11T00:00:00"/>
        <d v="2020-02-12T00:00:00"/>
        <d v="2020-02-13T00:00:00"/>
        <d v="2020-02-19T00:00:00"/>
        <d v="2020-02-16T00:00:00"/>
        <d v="2020-02-17T00:00:00"/>
        <d v="2020-02-18T00:00:00"/>
        <d v="2020-02-20T00:00:00"/>
        <d v="2020-02-21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3T00:00:00"/>
        <d v="2020-03-04T00:00:00"/>
        <d v="2020-03-05T00:00:00"/>
        <d v="2020-03-06T00:00:00"/>
        <d v="2020-03-10T00:00:00"/>
        <d v="2020-03-12T00:00:00"/>
        <d v="2020-03-13T00:00:00"/>
        <d v="2020-03-14T00:00:00"/>
        <d v="2020-03-16T00:00:00"/>
        <d v="2020-03-17T00:00:00"/>
        <d v="2020-03-19T00:00:00"/>
        <d v="2020-03-23T00:00:00"/>
        <d v="2020-03-24T00:00:00"/>
        <d v="2020-03-26T00:00:00"/>
        <d v="2020-04-05T00:00:00"/>
        <d v="2020-04-07T00:00:00"/>
        <d v="2020-04-13T00:00:00"/>
        <d v="2020-04-15T00:00:00"/>
        <d v="2020-04-16T00:00:00"/>
        <d v="2020-04-24T00:00:00"/>
        <d v="2020-04-27T00:00:00"/>
        <d v="2020-05-01T00:00:00"/>
        <d v="2020-05-07T00:00:00"/>
        <d v="2020-05-14T00:00:00"/>
        <d v="2020-05-20T00:00:00"/>
        <d v="2020-05-26T00:00:00"/>
        <d v="2020-06-30T00:00:00"/>
        <d v="2020-07-01T00:00:00"/>
        <d v="2020-07-05T00:00:00"/>
        <d v="2020-07-06T00:00:00"/>
        <d v="2020-07-09T00:00:00"/>
        <d v="2020-07-10T00:00:00"/>
        <d v="2020-07-13T00:00:00"/>
        <d v="2020-07-14T00:00:00"/>
        <d v="2020-07-22T00:00:00"/>
        <d v="2020-07-23T00:00:00"/>
        <d v="2020-07-27T00:00:00"/>
        <d v="2020-07-28T00:00:00"/>
        <d v="2020-07-29T00:00:00"/>
        <d v="2020-07-30T00:00:00"/>
        <d v="2020-08-03T00:00:00"/>
        <d v="2020-08-04T00:00:00"/>
        <d v="2020-08-05T00:00:00"/>
        <d v="2020-08-06T00:00:00"/>
        <d v="2020-08-10T00:00:00"/>
        <d v="2020-08-11T00:00:00"/>
        <d v="2020-08-12T00:00:00"/>
        <d v="2020-08-13T00:00:00"/>
        <d v="2020-08-14T00:00:00"/>
        <d v="2020-08-16T00:00:00"/>
        <d v="2020-08-17T00:00:00"/>
        <d v="2020-08-19T00:00:00"/>
        <d v="2020-08-20T00:00:00"/>
        <d v="2020-08-24T00:00:00"/>
        <d v="2020-08-25T00:00:00"/>
        <d v="2020-08-31T00:00:00"/>
        <d v="2020-09-02T00:00:00"/>
        <d v="2020-09-03T00:00:00"/>
        <d v="2020-09-04T00:00:00"/>
        <d v="2020-09-15T00:00:00"/>
        <d v="2020-09-17T00:00:00"/>
        <d v="2020-11-19T00:00:00"/>
        <d v="2020-11-30T00:00:00"/>
        <d v="2020-12-01T00:00:00"/>
        <d v="2020-12-03T00:00:00"/>
        <d v="2020-12-04T00:00:00"/>
        <d v="2020-12-09T00:00:00"/>
        <d v="2020-12-10T00:00:00"/>
        <d v="2020-12-11T00:00:00"/>
        <d v="2020-12-13T00:00:00"/>
        <d v="2020-12-14T00:00:00"/>
        <d v="2020-12-15T00:00:00"/>
        <d v="2020-12-16T00:00:00"/>
        <d v="2020-12-17T00:00:00"/>
        <d v="2020-12-21T00:00:00"/>
        <d v="2020-12-22T00:00:00"/>
        <d v="2020-12-23T00:00:00"/>
        <d v="2020-12-29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20T00:00:00"/>
        <d v="2021-01-24T00:00:00"/>
        <d v="2021-01-25T00:00:00"/>
        <d v="2021-01-26T00:00:00"/>
        <d v="2021-01-27T00:00:00"/>
        <d v="2021-01-28T00:00:00"/>
        <d v="2021-01-29T00:00:00"/>
        <d v="2021-02-04T00:00:00"/>
      </sharedItems>
    </cacheField>
    <cacheField name="Farm" numFmtId="15">
      <sharedItems count="3">
        <s v="Elysian"/>
        <s v="Gideon"/>
        <s v="AgriFresh" u="1"/>
      </sharedItems>
    </cacheField>
    <cacheField name="Agent" numFmtId="0">
      <sharedItems count="12">
        <s v="Wenpro"/>
        <s v="Citi Fresh"/>
        <s v="Metro"/>
        <s v="Fresh Way"/>
        <s v="Execufruit"/>
        <s v="Egoly"/>
        <s v="CL Devillier"/>
        <s v="Dapper"/>
        <s v="Klerksdorp"/>
        <s v="DW Fresh"/>
        <s v="Turbot" u="1"/>
        <s v="Freshway" u="1"/>
      </sharedItems>
    </cacheField>
    <cacheField name="Produce" numFmtId="0">
      <sharedItems count="11">
        <s v="Turnips"/>
        <s v="Brinjals"/>
        <s v="Gem squash"/>
        <s v="Green Pepper"/>
        <s v="Chillies"/>
        <s v="Spinach"/>
        <s v="Broccoli"/>
        <s v="Kale"/>
        <s v="Baby Marrow"/>
        <s v="Yellow Pepper"/>
        <s v="Red Pepper"/>
      </sharedItems>
    </cacheField>
    <cacheField name="Qty Delivered" numFmtId="0">
      <sharedItems containsSemiMixedTypes="0" containsString="0" containsNumber="1" containsInteger="1" minValue="2" maxValue="1026"/>
    </cacheField>
    <cacheField name="Qty Unsold" numFmtId="0">
      <sharedItems containsSemiMixedTypes="0" containsString="0" containsNumber="1" containsInteger="1" minValue="0" maxValue="858"/>
    </cacheField>
    <cacheField name="Qty Sold" numFmtId="0">
      <sharedItems containsString="0" containsBlank="1" containsNumber="1" containsInteger="1" minValue="0" maxValue="990"/>
    </cacheField>
    <cacheField name="Qty Destroyed" numFmtId="0">
      <sharedItems containsString="0" containsBlank="1" containsNumber="1" containsInteger="1" minValue="0" maxValue="760"/>
    </cacheField>
    <cacheField name="Average Price" numFmtId="44">
      <sharedItems containsBlank="1" containsMixedTypes="1" containsNumber="1" minValue="0" maxValue="144"/>
    </cacheField>
    <cacheField name="Gross" numFmtId="44">
      <sharedItems containsString="0" containsBlank="1" containsNumber="1" minValue="0" maxValue="56700"/>
    </cacheField>
    <cacheField name="Comm Deduction" numFmtId="44">
      <sharedItems containsString="0" containsBlank="1" containsNumber="1" minValue="0" maxValue="8476.65"/>
    </cacheField>
    <cacheField name="Gross Profit" numFmtId="44">
      <sharedItems containsSemiMixedTypes="0" containsString="0" containsNumber="1" minValue="-53.210000000000008" maxValue="48223.35"/>
    </cacheField>
  </cacheFields>
  <extLst>
    <ext xmlns:x14="http://schemas.microsoft.com/office/spreadsheetml/2009/9/main" uri="{725AE2AE-9491-48be-B2B4-4EB974FC3084}">
      <x14:pivotCacheDefinition pivotCacheId="10106744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">
  <r>
    <m/>
    <m/>
    <x v="0"/>
    <x v="0"/>
    <x v="0"/>
    <x v="0"/>
    <n v="24"/>
    <n v="0"/>
    <n v="24"/>
    <n v="0"/>
    <n v="65.833333333333329"/>
    <n v="1580"/>
    <m/>
    <n v="1580"/>
  </r>
  <r>
    <m/>
    <m/>
    <x v="1"/>
    <x v="0"/>
    <x v="1"/>
    <x v="1"/>
    <n v="303"/>
    <n v="0"/>
    <n v="303"/>
    <n v="0"/>
    <n v="35.448844884488452"/>
    <n v="10741"/>
    <m/>
    <n v="10741"/>
  </r>
  <r>
    <m/>
    <n v="32721"/>
    <x v="2"/>
    <x v="0"/>
    <x v="2"/>
    <x v="2"/>
    <n v="260"/>
    <n v="0"/>
    <n v="260"/>
    <n v="0"/>
    <n v="13.99423076923077"/>
    <n v="3638.5"/>
    <n v="547.9"/>
    <n v="3090.6"/>
  </r>
  <r>
    <m/>
    <n v="32721"/>
    <x v="2"/>
    <x v="0"/>
    <x v="2"/>
    <x v="1"/>
    <n v="268"/>
    <n v="0"/>
    <n v="268"/>
    <n v="0"/>
    <n v="13.576492537313433"/>
    <n v="3638.5"/>
    <n v="547.9"/>
    <n v="3090.6"/>
  </r>
  <r>
    <m/>
    <n v="32722"/>
    <x v="3"/>
    <x v="0"/>
    <x v="2"/>
    <x v="3"/>
    <n v="211"/>
    <n v="0"/>
    <n v="211"/>
    <n v="0"/>
    <n v="41.469194312796212"/>
    <n v="8750"/>
    <n v="1257.93"/>
    <n v="7492.07"/>
  </r>
  <r>
    <m/>
    <n v="32723"/>
    <x v="4"/>
    <x v="0"/>
    <x v="2"/>
    <x v="1"/>
    <n v="250"/>
    <n v="0"/>
    <n v="250"/>
    <n v="0"/>
    <n v="42.8"/>
    <n v="10700"/>
    <n v="1538.22"/>
    <n v="9161.7800000000007"/>
  </r>
  <r>
    <m/>
    <n v="32725"/>
    <x v="5"/>
    <x v="0"/>
    <x v="2"/>
    <x v="1"/>
    <n v="230"/>
    <n v="0"/>
    <n v="230"/>
    <n v="0"/>
    <n v="12.465217391304348"/>
    <n v="2867"/>
    <n v="488.04"/>
    <n v="2378.96"/>
  </r>
  <r>
    <m/>
    <n v="32724"/>
    <x v="5"/>
    <x v="0"/>
    <x v="2"/>
    <x v="2"/>
    <n v="357"/>
    <n v="0"/>
    <n v="357"/>
    <n v="0"/>
    <n v="48.15126050420168"/>
    <n v="17190"/>
    <n v="2417.09"/>
    <n v="14772.91"/>
  </r>
  <r>
    <m/>
    <n v="32726"/>
    <x v="6"/>
    <x v="0"/>
    <x v="2"/>
    <x v="3"/>
    <n v="193"/>
    <n v="0"/>
    <n v="193"/>
    <n v="0"/>
    <n v="43.212435233160619"/>
    <n v="8340"/>
    <n v="1220.31"/>
    <n v="7119.6900000000005"/>
  </r>
  <r>
    <m/>
    <n v="32726"/>
    <x v="6"/>
    <x v="0"/>
    <x v="2"/>
    <x v="1"/>
    <n v="53"/>
    <n v="0"/>
    <n v="53"/>
    <n v="0"/>
    <n v="19.669811320754718"/>
    <n v="1042.5"/>
    <n v="152.54"/>
    <n v="889.96"/>
  </r>
  <r>
    <m/>
    <n v="32726"/>
    <x v="6"/>
    <x v="0"/>
    <x v="2"/>
    <x v="4"/>
    <n v="71"/>
    <n v="0"/>
    <n v="71"/>
    <n v="0"/>
    <n v="14.683098591549296"/>
    <n v="1042.5"/>
    <n v="152.54"/>
    <n v="889.96"/>
  </r>
  <r>
    <m/>
    <m/>
    <x v="1"/>
    <x v="0"/>
    <x v="1"/>
    <x v="3"/>
    <n v="356"/>
    <n v="0"/>
    <n v="356"/>
    <n v="0"/>
    <n v="32.146039325842693"/>
    <n v="11443.99"/>
    <m/>
    <n v="11443.99"/>
  </r>
  <r>
    <m/>
    <m/>
    <x v="7"/>
    <x v="0"/>
    <x v="1"/>
    <x v="3"/>
    <n v="272"/>
    <n v="0"/>
    <n v="272"/>
    <n v="0"/>
    <n v="36.875"/>
    <n v="10030"/>
    <m/>
    <n v="10030"/>
  </r>
  <r>
    <m/>
    <m/>
    <x v="8"/>
    <x v="0"/>
    <x v="1"/>
    <x v="3"/>
    <n v="272"/>
    <n v="0"/>
    <n v="272"/>
    <n v="0"/>
    <n v="49.507352941176471"/>
    <n v="13466"/>
    <m/>
    <n v="13466"/>
  </r>
  <r>
    <m/>
    <m/>
    <x v="9"/>
    <x v="0"/>
    <x v="1"/>
    <x v="3"/>
    <n v="281"/>
    <n v="0"/>
    <n v="281"/>
    <n v="0"/>
    <n v="48.238434163701065"/>
    <n v="13555"/>
    <m/>
    <n v="13555"/>
  </r>
  <r>
    <m/>
    <m/>
    <x v="10"/>
    <x v="0"/>
    <x v="1"/>
    <x v="1"/>
    <n v="96"/>
    <n v="0"/>
    <n v="96"/>
    <n v="0"/>
    <n v="44.375"/>
    <n v="4260"/>
    <m/>
    <n v="4260"/>
  </r>
  <r>
    <m/>
    <m/>
    <x v="10"/>
    <x v="0"/>
    <x v="1"/>
    <x v="3"/>
    <n v="2"/>
    <n v="0"/>
    <n v="2"/>
    <n v="0"/>
    <n v="50"/>
    <n v="100"/>
    <m/>
    <n v="100"/>
  </r>
  <r>
    <m/>
    <m/>
    <x v="10"/>
    <x v="0"/>
    <x v="1"/>
    <x v="4"/>
    <n v="22"/>
    <n v="0"/>
    <n v="17"/>
    <n v="5"/>
    <n v="46.764705882352942"/>
    <n v="795"/>
    <m/>
    <n v="795"/>
  </r>
  <r>
    <m/>
    <m/>
    <x v="11"/>
    <x v="0"/>
    <x v="1"/>
    <x v="1"/>
    <n v="298"/>
    <n v="0"/>
    <n v="222"/>
    <n v="76"/>
    <n v="27.725225225225227"/>
    <n v="6155"/>
    <m/>
    <n v="6155"/>
  </r>
  <r>
    <m/>
    <m/>
    <x v="12"/>
    <x v="0"/>
    <x v="1"/>
    <x v="1"/>
    <n v="46"/>
    <n v="0"/>
    <n v="46"/>
    <n v="0"/>
    <n v="44.891304347826086"/>
    <n v="2065"/>
    <m/>
    <n v="2065"/>
  </r>
  <r>
    <m/>
    <m/>
    <x v="12"/>
    <x v="0"/>
    <x v="1"/>
    <x v="4"/>
    <n v="28"/>
    <n v="0"/>
    <n v="28"/>
    <n v="0"/>
    <n v="56.428571428571431"/>
    <n v="1580"/>
    <m/>
    <n v="1580"/>
  </r>
  <r>
    <m/>
    <m/>
    <x v="12"/>
    <x v="0"/>
    <x v="1"/>
    <x v="1"/>
    <n v="258"/>
    <n v="0"/>
    <n v="238"/>
    <n v="20"/>
    <n v="38.04621848739496"/>
    <n v="9055"/>
    <m/>
    <n v="9055"/>
  </r>
  <r>
    <m/>
    <m/>
    <x v="13"/>
    <x v="0"/>
    <x v="1"/>
    <x v="4"/>
    <n v="333"/>
    <n v="0"/>
    <n v="333"/>
    <n v="0"/>
    <n v="25.945945945945947"/>
    <n v="8640"/>
    <m/>
    <n v="8640"/>
  </r>
  <r>
    <m/>
    <m/>
    <x v="14"/>
    <x v="0"/>
    <x v="1"/>
    <x v="4"/>
    <n v="330"/>
    <n v="0"/>
    <n v="330"/>
    <n v="0"/>
    <n v="29.712121212121211"/>
    <n v="9805"/>
    <m/>
    <n v="9805"/>
  </r>
  <r>
    <m/>
    <m/>
    <x v="14"/>
    <x v="0"/>
    <x v="1"/>
    <x v="5"/>
    <n v="155"/>
    <n v="0"/>
    <n v="155"/>
    <n v="0"/>
    <n v="9.9032258064516121"/>
    <n v="1535"/>
    <m/>
    <n v="1535"/>
  </r>
  <r>
    <m/>
    <m/>
    <x v="15"/>
    <x v="0"/>
    <x v="1"/>
    <x v="1"/>
    <n v="159"/>
    <n v="0"/>
    <n v="56"/>
    <n v="103"/>
    <n v="35.357142857142854"/>
    <n v="1980"/>
    <m/>
    <n v="1980"/>
  </r>
  <r>
    <m/>
    <m/>
    <x v="15"/>
    <x v="0"/>
    <x v="1"/>
    <x v="4"/>
    <n v="170"/>
    <n v="0"/>
    <n v="170"/>
    <n v="0"/>
    <n v="25.547058823529412"/>
    <n v="4343"/>
    <m/>
    <n v="4343"/>
  </r>
  <r>
    <m/>
    <m/>
    <x v="15"/>
    <x v="0"/>
    <x v="1"/>
    <x v="5"/>
    <n v="91"/>
    <n v="2"/>
    <n v="50"/>
    <n v="39"/>
    <n v="5.48"/>
    <n v="274"/>
    <m/>
    <n v="274"/>
  </r>
  <r>
    <m/>
    <m/>
    <x v="16"/>
    <x v="0"/>
    <x v="1"/>
    <x v="3"/>
    <n v="220"/>
    <n v="0"/>
    <n v="220"/>
    <n v="0"/>
    <n v="60.090909090909093"/>
    <n v="13220"/>
    <m/>
    <n v="13220"/>
  </r>
  <r>
    <m/>
    <m/>
    <x v="16"/>
    <x v="0"/>
    <x v="1"/>
    <x v="3"/>
    <n v="73"/>
    <n v="0"/>
    <n v="73"/>
    <n v="0"/>
    <n v="60"/>
    <n v="4380"/>
    <m/>
    <n v="4380"/>
  </r>
  <r>
    <m/>
    <m/>
    <x v="16"/>
    <x v="0"/>
    <x v="1"/>
    <x v="4"/>
    <n v="165"/>
    <n v="0"/>
    <n v="165"/>
    <n v="0"/>
    <n v="24.406060606060606"/>
    <n v="4027"/>
    <m/>
    <n v="4027"/>
  </r>
  <r>
    <m/>
    <m/>
    <x v="17"/>
    <x v="0"/>
    <x v="1"/>
    <x v="3"/>
    <n v="120"/>
    <n v="0"/>
    <n v="120"/>
    <n v="0"/>
    <n v="67.25833333333334"/>
    <n v="8071"/>
    <m/>
    <n v="8071"/>
  </r>
  <r>
    <m/>
    <m/>
    <x v="17"/>
    <x v="0"/>
    <x v="1"/>
    <x v="1"/>
    <n v="206"/>
    <n v="0"/>
    <n v="206"/>
    <n v="0"/>
    <n v="29.296116504854368"/>
    <n v="6035"/>
    <m/>
    <n v="6035"/>
  </r>
  <r>
    <m/>
    <m/>
    <x v="18"/>
    <x v="0"/>
    <x v="1"/>
    <x v="3"/>
    <n v="305"/>
    <n v="0"/>
    <n v="305"/>
    <n v="0"/>
    <n v="73.081967213114751"/>
    <n v="22290"/>
    <m/>
    <n v="22290"/>
  </r>
  <r>
    <m/>
    <m/>
    <x v="18"/>
    <x v="0"/>
    <x v="1"/>
    <x v="3"/>
    <n v="222"/>
    <n v="0"/>
    <n v="222"/>
    <n v="0"/>
    <n v="71.756756756756758"/>
    <n v="15930"/>
    <m/>
    <n v="15930"/>
  </r>
  <r>
    <m/>
    <m/>
    <x v="19"/>
    <x v="0"/>
    <x v="1"/>
    <x v="1"/>
    <n v="200"/>
    <n v="0"/>
    <n v="130"/>
    <n v="70"/>
    <n v="25.153846153846153"/>
    <n v="3270"/>
    <m/>
    <n v="3270"/>
  </r>
  <r>
    <m/>
    <m/>
    <x v="19"/>
    <x v="0"/>
    <x v="1"/>
    <x v="3"/>
    <n v="300"/>
    <n v="0"/>
    <n v="300"/>
    <n v="0"/>
    <n v="60.9"/>
    <n v="18270"/>
    <m/>
    <n v="18270"/>
  </r>
  <r>
    <m/>
    <m/>
    <x v="19"/>
    <x v="0"/>
    <x v="1"/>
    <x v="3"/>
    <n v="216"/>
    <n v="0"/>
    <n v="216"/>
    <n v="0"/>
    <n v="61.805555555555557"/>
    <n v="13350"/>
    <m/>
    <n v="13350"/>
  </r>
  <r>
    <m/>
    <m/>
    <x v="20"/>
    <x v="0"/>
    <x v="1"/>
    <x v="3"/>
    <n v="257"/>
    <n v="0"/>
    <n v="257"/>
    <n v="0"/>
    <n v="57.431906614785994"/>
    <n v="14760"/>
    <m/>
    <n v="14760"/>
  </r>
  <r>
    <m/>
    <m/>
    <x v="20"/>
    <x v="0"/>
    <x v="1"/>
    <x v="1"/>
    <n v="300"/>
    <n v="0"/>
    <n v="300"/>
    <n v="0"/>
    <n v="25.783333333333335"/>
    <n v="7735"/>
    <m/>
    <n v="7735"/>
  </r>
  <r>
    <m/>
    <m/>
    <x v="20"/>
    <x v="0"/>
    <x v="1"/>
    <x v="2"/>
    <n v="25"/>
    <n v="0"/>
    <n v="0"/>
    <n v="25"/>
    <e v="#DIV/0!"/>
    <n v="895"/>
    <m/>
    <n v="895"/>
  </r>
  <r>
    <m/>
    <m/>
    <x v="21"/>
    <x v="0"/>
    <x v="1"/>
    <x v="1"/>
    <n v="100"/>
    <n v="0"/>
    <n v="100"/>
    <n v="0"/>
    <n v="19.2"/>
    <n v="1920"/>
    <m/>
    <n v="1920"/>
  </r>
  <r>
    <m/>
    <m/>
    <x v="21"/>
    <x v="0"/>
    <x v="1"/>
    <x v="4"/>
    <n v="136"/>
    <n v="0"/>
    <n v="136"/>
    <n v="0"/>
    <n v="34.183823529411768"/>
    <n v="4649"/>
    <m/>
    <n v="4649"/>
  </r>
  <r>
    <m/>
    <m/>
    <x v="22"/>
    <x v="0"/>
    <x v="1"/>
    <x v="1"/>
    <n v="187"/>
    <n v="0"/>
    <n v="187"/>
    <n v="0"/>
    <n v="28.18716577540107"/>
    <n v="5271"/>
    <m/>
    <n v="5271"/>
  </r>
  <r>
    <m/>
    <m/>
    <x v="22"/>
    <x v="0"/>
    <x v="1"/>
    <x v="4"/>
    <n v="90"/>
    <n v="0"/>
    <n v="90"/>
    <n v="0"/>
    <n v="35"/>
    <n v="3150"/>
    <m/>
    <n v="3150"/>
  </r>
  <r>
    <m/>
    <n v="111652"/>
    <x v="23"/>
    <x v="0"/>
    <x v="0"/>
    <x v="1"/>
    <n v="200"/>
    <n v="0"/>
    <n v="200"/>
    <n v="0"/>
    <n v="9.35"/>
    <n v="1870"/>
    <m/>
    <n v="1870"/>
  </r>
  <r>
    <m/>
    <n v="111652"/>
    <x v="23"/>
    <x v="0"/>
    <x v="0"/>
    <x v="4"/>
    <n v="179"/>
    <n v="0"/>
    <n v="179"/>
    <n v="0"/>
    <n v="25"/>
    <n v="4475"/>
    <m/>
    <n v="4475"/>
  </r>
  <r>
    <m/>
    <m/>
    <x v="24"/>
    <x v="0"/>
    <x v="1"/>
    <x v="1"/>
    <n v="100"/>
    <n v="0"/>
    <n v="12"/>
    <n v="88"/>
    <n v="38.333333333333336"/>
    <n v="460"/>
    <m/>
    <n v="460"/>
  </r>
  <r>
    <m/>
    <m/>
    <x v="24"/>
    <x v="0"/>
    <x v="1"/>
    <x v="4"/>
    <n v="195"/>
    <n v="0"/>
    <n v="195"/>
    <n v="0"/>
    <n v="31.487179487179485"/>
    <n v="6140"/>
    <m/>
    <n v="6140"/>
  </r>
  <r>
    <m/>
    <n v="32727"/>
    <x v="25"/>
    <x v="0"/>
    <x v="2"/>
    <x v="1"/>
    <n v="100"/>
    <n v="0"/>
    <n v="100"/>
    <n v="0"/>
    <n v="22.6"/>
    <n v="2260"/>
    <n v="334.9"/>
    <n v="1925.1"/>
  </r>
  <r>
    <m/>
    <m/>
    <x v="26"/>
    <x v="0"/>
    <x v="1"/>
    <x v="1"/>
    <n v="300"/>
    <n v="0"/>
    <n v="300"/>
    <n v="0"/>
    <n v="21.333333333333332"/>
    <n v="6400"/>
    <m/>
    <n v="6400"/>
  </r>
  <r>
    <m/>
    <m/>
    <x v="26"/>
    <x v="0"/>
    <x v="1"/>
    <x v="4"/>
    <n v="211"/>
    <n v="0"/>
    <n v="211"/>
    <n v="0"/>
    <n v="30.236966824644551"/>
    <n v="6380"/>
    <m/>
    <n v="6380"/>
  </r>
  <r>
    <m/>
    <m/>
    <x v="26"/>
    <x v="0"/>
    <x v="1"/>
    <x v="4"/>
    <n v="50"/>
    <n v="0"/>
    <n v="50"/>
    <n v="0"/>
    <n v="51.7"/>
    <n v="2585"/>
    <m/>
    <n v="2585"/>
  </r>
  <r>
    <m/>
    <m/>
    <x v="27"/>
    <x v="0"/>
    <x v="1"/>
    <x v="3"/>
    <n v="216"/>
    <n v="0"/>
    <n v="216"/>
    <n v="0"/>
    <n v="47.245370370370374"/>
    <n v="10205"/>
    <m/>
    <n v="10205"/>
  </r>
  <r>
    <m/>
    <m/>
    <x v="28"/>
    <x v="0"/>
    <x v="1"/>
    <x v="3"/>
    <n v="296"/>
    <n v="0"/>
    <n v="296"/>
    <n v="0"/>
    <n v="43.66554054054054"/>
    <n v="12925"/>
    <m/>
    <n v="12925"/>
  </r>
  <r>
    <m/>
    <m/>
    <x v="25"/>
    <x v="0"/>
    <x v="1"/>
    <x v="3"/>
    <n v="100"/>
    <n v="0"/>
    <n v="100"/>
    <n v="0"/>
    <n v="24.95"/>
    <n v="2495"/>
    <m/>
    <n v="2495"/>
  </r>
  <r>
    <m/>
    <n v="111653"/>
    <x v="25"/>
    <x v="0"/>
    <x v="0"/>
    <x v="1"/>
    <n v="100"/>
    <n v="0"/>
    <n v="100"/>
    <n v="0"/>
    <n v="10.8"/>
    <n v="1080"/>
    <m/>
    <n v="1080"/>
  </r>
  <r>
    <m/>
    <m/>
    <x v="29"/>
    <x v="0"/>
    <x v="1"/>
    <x v="3"/>
    <n v="112"/>
    <n v="95"/>
    <n v="17"/>
    <n v="0"/>
    <n v="22.352941176470587"/>
    <n v="380"/>
    <m/>
    <n v="380"/>
  </r>
  <r>
    <m/>
    <m/>
    <x v="29"/>
    <x v="0"/>
    <x v="1"/>
    <x v="4"/>
    <n v="210"/>
    <n v="0"/>
    <n v="210"/>
    <n v="0"/>
    <n v="31.642857142857142"/>
    <n v="6645"/>
    <m/>
    <n v="6645"/>
  </r>
  <r>
    <m/>
    <m/>
    <x v="29"/>
    <x v="0"/>
    <x v="1"/>
    <x v="1"/>
    <n v="152"/>
    <n v="0"/>
    <n v="70"/>
    <n v="82"/>
    <n v="26.928571428571427"/>
    <n v="1885"/>
    <m/>
    <n v="1885"/>
  </r>
  <r>
    <m/>
    <m/>
    <x v="29"/>
    <x v="0"/>
    <x v="1"/>
    <x v="3"/>
    <n v="105"/>
    <n v="0"/>
    <n v="105"/>
    <n v="0"/>
    <n v="30.666666666666668"/>
    <n v="3220"/>
    <m/>
    <n v="3220"/>
  </r>
  <r>
    <m/>
    <m/>
    <x v="30"/>
    <x v="0"/>
    <x v="1"/>
    <x v="3"/>
    <n v="158"/>
    <n v="61"/>
    <n v="97"/>
    <n v="0"/>
    <n v="28.814432989690722"/>
    <n v="2795"/>
    <m/>
    <n v="2795"/>
  </r>
  <r>
    <m/>
    <m/>
    <x v="30"/>
    <x v="0"/>
    <x v="1"/>
    <x v="4"/>
    <n v="185"/>
    <n v="0"/>
    <n v="49"/>
    <n v="136"/>
    <n v="27.448979591836736"/>
    <n v="1345"/>
    <m/>
    <n v="1345"/>
  </r>
  <r>
    <m/>
    <m/>
    <x v="30"/>
    <x v="0"/>
    <x v="1"/>
    <x v="3"/>
    <n v="114"/>
    <n v="0"/>
    <n v="114"/>
    <n v="0"/>
    <n v="30.043859649122808"/>
    <n v="3425"/>
    <m/>
    <n v="3425"/>
  </r>
  <r>
    <m/>
    <m/>
    <x v="30"/>
    <x v="0"/>
    <x v="1"/>
    <x v="4"/>
    <n v="6"/>
    <n v="0"/>
    <n v="6"/>
    <n v="0"/>
    <n v="30"/>
    <n v="180"/>
    <m/>
    <n v="180"/>
  </r>
  <r>
    <m/>
    <m/>
    <x v="31"/>
    <x v="0"/>
    <x v="1"/>
    <x v="3"/>
    <n v="312"/>
    <n v="0"/>
    <n v="273"/>
    <n v="39"/>
    <n v="31.252747252747252"/>
    <n v="8532"/>
    <m/>
    <n v="8532"/>
  </r>
  <r>
    <m/>
    <m/>
    <x v="32"/>
    <x v="0"/>
    <x v="1"/>
    <x v="3"/>
    <n v="220"/>
    <n v="0"/>
    <n v="220"/>
    <n v="0"/>
    <n v="20.781818181818181"/>
    <n v="4572"/>
    <m/>
    <n v="4572"/>
  </r>
  <r>
    <m/>
    <m/>
    <x v="32"/>
    <x v="0"/>
    <x v="1"/>
    <x v="1"/>
    <n v="257"/>
    <n v="0"/>
    <n v="257"/>
    <n v="0"/>
    <n v="25.867704280155642"/>
    <n v="6648"/>
    <m/>
    <n v="6648"/>
  </r>
  <r>
    <m/>
    <m/>
    <x v="33"/>
    <x v="0"/>
    <x v="1"/>
    <x v="4"/>
    <n v="550"/>
    <n v="0"/>
    <n v="429"/>
    <n v="121"/>
    <n v="25.372960372960375"/>
    <n v="10885"/>
    <m/>
    <n v="10885"/>
  </r>
  <r>
    <m/>
    <m/>
    <x v="33"/>
    <x v="0"/>
    <x v="1"/>
    <x v="1"/>
    <n v="20"/>
    <n v="0"/>
    <n v="20"/>
    <n v="0"/>
    <n v="30.75"/>
    <n v="615"/>
    <m/>
    <n v="615"/>
  </r>
  <r>
    <m/>
    <m/>
    <x v="33"/>
    <x v="0"/>
    <x v="1"/>
    <x v="3"/>
    <n v="65"/>
    <n v="0"/>
    <n v="65"/>
    <n v="0"/>
    <n v="35.692307692307693"/>
    <n v="2320"/>
    <m/>
    <n v="2320"/>
  </r>
  <r>
    <m/>
    <m/>
    <x v="33"/>
    <x v="0"/>
    <x v="1"/>
    <x v="1"/>
    <n v="106"/>
    <n v="0"/>
    <n v="106"/>
    <n v="0"/>
    <n v="25.141509433962263"/>
    <n v="2665"/>
    <m/>
    <n v="2665"/>
  </r>
  <r>
    <m/>
    <m/>
    <x v="33"/>
    <x v="0"/>
    <x v="1"/>
    <x v="4"/>
    <n v="203"/>
    <n v="0"/>
    <n v="91"/>
    <n v="112"/>
    <n v="22.087912087912088"/>
    <n v="2010"/>
    <m/>
    <n v="2010"/>
  </r>
  <r>
    <m/>
    <m/>
    <x v="34"/>
    <x v="0"/>
    <x v="1"/>
    <x v="3"/>
    <n v="142"/>
    <n v="0"/>
    <n v="83"/>
    <n v="59"/>
    <n v="36.686746987951807"/>
    <n v="3045"/>
    <m/>
    <n v="3045"/>
  </r>
  <r>
    <m/>
    <m/>
    <x v="34"/>
    <x v="0"/>
    <x v="1"/>
    <x v="1"/>
    <n v="44"/>
    <n v="0"/>
    <n v="44"/>
    <n v="0"/>
    <n v="22.113636363636363"/>
    <n v="973"/>
    <m/>
    <n v="973"/>
  </r>
  <r>
    <m/>
    <m/>
    <x v="34"/>
    <x v="0"/>
    <x v="1"/>
    <x v="4"/>
    <n v="140"/>
    <n v="0"/>
    <n v="140"/>
    <n v="0"/>
    <n v="18.571428571428573"/>
    <n v="2600"/>
    <m/>
    <n v="2600"/>
  </r>
  <r>
    <m/>
    <m/>
    <x v="35"/>
    <x v="0"/>
    <x v="1"/>
    <x v="3"/>
    <n v="177"/>
    <n v="0"/>
    <n v="177"/>
    <n v="0"/>
    <n v="17"/>
    <n v="3009"/>
    <m/>
    <n v="3009"/>
  </r>
  <r>
    <m/>
    <m/>
    <x v="35"/>
    <x v="0"/>
    <x v="1"/>
    <x v="1"/>
    <n v="16"/>
    <n v="0"/>
    <n v="16"/>
    <n v="0"/>
    <n v="20.3125"/>
    <n v="325"/>
    <m/>
    <n v="325"/>
  </r>
  <r>
    <m/>
    <m/>
    <x v="35"/>
    <x v="0"/>
    <x v="1"/>
    <x v="4"/>
    <n v="170"/>
    <n v="0"/>
    <n v="170"/>
    <n v="0"/>
    <n v="20.088235294117649"/>
    <n v="3415"/>
    <m/>
    <n v="3415"/>
  </r>
  <r>
    <m/>
    <m/>
    <x v="36"/>
    <x v="0"/>
    <x v="1"/>
    <x v="3"/>
    <n v="287"/>
    <n v="0"/>
    <n v="287"/>
    <n v="0"/>
    <n v="20.435540069686411"/>
    <n v="5865"/>
    <m/>
    <n v="5865"/>
  </r>
  <r>
    <m/>
    <m/>
    <x v="36"/>
    <x v="0"/>
    <x v="1"/>
    <x v="1"/>
    <n v="21"/>
    <n v="0"/>
    <n v="21"/>
    <n v="0"/>
    <n v="24.761904761904763"/>
    <n v="520"/>
    <m/>
    <n v="520"/>
  </r>
  <r>
    <m/>
    <m/>
    <x v="36"/>
    <x v="0"/>
    <x v="1"/>
    <x v="4"/>
    <n v="130"/>
    <n v="0"/>
    <n v="11"/>
    <n v="119"/>
    <n v="24.545454545454547"/>
    <n v="270"/>
    <m/>
    <n v="270"/>
  </r>
  <r>
    <m/>
    <m/>
    <x v="37"/>
    <x v="0"/>
    <x v="1"/>
    <x v="3"/>
    <n v="96"/>
    <n v="0"/>
    <n v="96"/>
    <n v="0"/>
    <n v="30"/>
    <n v="2880"/>
    <m/>
    <n v="2880"/>
  </r>
  <r>
    <m/>
    <m/>
    <x v="37"/>
    <x v="0"/>
    <x v="1"/>
    <x v="1"/>
    <n v="18"/>
    <n v="0"/>
    <n v="18"/>
    <n v="0"/>
    <n v="31.944444444444443"/>
    <n v="575"/>
    <m/>
    <n v="575"/>
  </r>
  <r>
    <m/>
    <m/>
    <x v="37"/>
    <x v="0"/>
    <x v="1"/>
    <x v="4"/>
    <n v="163"/>
    <n v="0"/>
    <n v="163"/>
    <n v="0"/>
    <n v="21.74846625766871"/>
    <n v="3545"/>
    <m/>
    <n v="3545"/>
  </r>
  <r>
    <m/>
    <m/>
    <x v="38"/>
    <x v="0"/>
    <x v="1"/>
    <x v="3"/>
    <n v="273"/>
    <n v="0"/>
    <n v="273"/>
    <n v="0"/>
    <n v="40.512820512820511"/>
    <n v="11060"/>
    <m/>
    <n v="11060"/>
  </r>
  <r>
    <m/>
    <m/>
    <x v="39"/>
    <x v="0"/>
    <x v="1"/>
    <x v="1"/>
    <n v="15"/>
    <n v="0"/>
    <n v="15"/>
    <n v="0"/>
    <n v="35"/>
    <n v="525"/>
    <m/>
    <n v="525"/>
  </r>
  <r>
    <m/>
    <m/>
    <x v="39"/>
    <x v="0"/>
    <x v="1"/>
    <x v="3"/>
    <n v="39"/>
    <n v="0"/>
    <n v="39"/>
    <n v="0"/>
    <n v="41.794871794871796"/>
    <n v="1630"/>
    <m/>
    <n v="1630"/>
  </r>
  <r>
    <m/>
    <m/>
    <x v="39"/>
    <x v="0"/>
    <x v="1"/>
    <x v="4"/>
    <n v="314"/>
    <n v="0"/>
    <n v="158"/>
    <n v="156"/>
    <n v="19.936708860759495"/>
    <n v="3150"/>
    <m/>
    <n v="3150"/>
  </r>
  <r>
    <m/>
    <m/>
    <x v="40"/>
    <x v="0"/>
    <x v="1"/>
    <x v="1"/>
    <n v="160"/>
    <n v="0"/>
    <n v="160"/>
    <n v="0"/>
    <n v="51.96875"/>
    <n v="8315"/>
    <m/>
    <n v="8315"/>
  </r>
  <r>
    <m/>
    <m/>
    <x v="40"/>
    <x v="0"/>
    <x v="1"/>
    <x v="3"/>
    <n v="144"/>
    <n v="0"/>
    <n v="144"/>
    <n v="0"/>
    <n v="30.069444444444443"/>
    <n v="4330"/>
    <m/>
    <n v="4330"/>
  </r>
  <r>
    <m/>
    <m/>
    <x v="40"/>
    <x v="0"/>
    <x v="1"/>
    <x v="1"/>
    <n v="202"/>
    <n v="0"/>
    <n v="202"/>
    <n v="0"/>
    <n v="34.801980198019805"/>
    <n v="7030"/>
    <m/>
    <n v="7030"/>
  </r>
  <r>
    <m/>
    <m/>
    <x v="40"/>
    <x v="0"/>
    <x v="1"/>
    <x v="3"/>
    <n v="37"/>
    <n v="0"/>
    <n v="37"/>
    <n v="0"/>
    <n v="16.891891891891891"/>
    <n v="625"/>
    <m/>
    <n v="625"/>
  </r>
  <r>
    <m/>
    <m/>
    <x v="40"/>
    <x v="0"/>
    <x v="1"/>
    <x v="4"/>
    <n v="26"/>
    <n v="0"/>
    <n v="24"/>
    <n v="2"/>
    <n v="24.166666666666668"/>
    <n v="580"/>
    <m/>
    <n v="580"/>
  </r>
  <r>
    <m/>
    <m/>
    <x v="41"/>
    <x v="0"/>
    <x v="1"/>
    <x v="1"/>
    <n v="164"/>
    <n v="0"/>
    <n v="164"/>
    <n v="0"/>
    <n v="24.993902439024389"/>
    <n v="4099"/>
    <m/>
    <n v="4099"/>
  </r>
  <r>
    <m/>
    <m/>
    <x v="42"/>
    <x v="0"/>
    <x v="1"/>
    <x v="1"/>
    <n v="172"/>
    <n v="0"/>
    <n v="172"/>
    <n v="0"/>
    <n v="14.94186046511628"/>
    <n v="2570"/>
    <m/>
    <n v="2570"/>
  </r>
  <r>
    <m/>
    <m/>
    <x v="42"/>
    <x v="0"/>
    <x v="1"/>
    <x v="1"/>
    <n v="31"/>
    <n v="0"/>
    <n v="31"/>
    <n v="0"/>
    <n v="45.806451612903224"/>
    <n v="1420"/>
    <m/>
    <n v="1420"/>
  </r>
  <r>
    <m/>
    <m/>
    <x v="42"/>
    <x v="0"/>
    <x v="1"/>
    <x v="3"/>
    <n v="76"/>
    <n v="0"/>
    <n v="76"/>
    <n v="0"/>
    <n v="21.315789473684209"/>
    <n v="1620"/>
    <m/>
    <n v="1620"/>
  </r>
  <r>
    <m/>
    <m/>
    <x v="42"/>
    <x v="0"/>
    <x v="1"/>
    <x v="4"/>
    <n v="85"/>
    <n v="0"/>
    <n v="83"/>
    <n v="2"/>
    <n v="25.240963855421686"/>
    <n v="2095"/>
    <m/>
    <n v="2095"/>
  </r>
  <r>
    <m/>
    <m/>
    <x v="43"/>
    <x v="0"/>
    <x v="1"/>
    <x v="3"/>
    <n v="182"/>
    <n v="0"/>
    <n v="182"/>
    <n v="0"/>
    <n v="24.505494505494507"/>
    <n v="4460"/>
    <m/>
    <n v="4460"/>
  </r>
  <r>
    <m/>
    <m/>
    <x v="44"/>
    <x v="0"/>
    <x v="1"/>
    <x v="3"/>
    <n v="174"/>
    <n v="0"/>
    <n v="174"/>
    <n v="0"/>
    <n v="20.298850574712645"/>
    <n v="3532"/>
    <m/>
    <n v="3532"/>
  </r>
  <r>
    <m/>
    <m/>
    <x v="45"/>
    <x v="0"/>
    <x v="1"/>
    <x v="3"/>
    <n v="120"/>
    <n v="0"/>
    <n v="120"/>
    <n v="0"/>
    <n v="20.766666666666666"/>
    <n v="2492"/>
    <m/>
    <n v="2492"/>
  </r>
  <r>
    <m/>
    <m/>
    <x v="45"/>
    <x v="0"/>
    <x v="1"/>
    <x v="4"/>
    <n v="82"/>
    <n v="0"/>
    <n v="20"/>
    <n v="62"/>
    <n v="91.5"/>
    <n v="1830"/>
    <m/>
    <n v="1830"/>
  </r>
  <r>
    <m/>
    <m/>
    <x v="46"/>
    <x v="0"/>
    <x v="1"/>
    <x v="1"/>
    <n v="204"/>
    <n v="0"/>
    <n v="204"/>
    <n v="0"/>
    <n v="29.970588235294116"/>
    <n v="6114"/>
    <m/>
    <n v="6114"/>
  </r>
  <r>
    <m/>
    <m/>
    <x v="46"/>
    <x v="0"/>
    <x v="1"/>
    <x v="3"/>
    <n v="31"/>
    <n v="0"/>
    <n v="31"/>
    <n v="0"/>
    <n v="31.612903225806452"/>
    <n v="980"/>
    <m/>
    <n v="980"/>
  </r>
  <r>
    <m/>
    <m/>
    <x v="47"/>
    <x v="0"/>
    <x v="1"/>
    <x v="1"/>
    <n v="65"/>
    <n v="0"/>
    <n v="65"/>
    <n v="0"/>
    <n v="20.923076923076923"/>
    <n v="1360"/>
    <m/>
    <n v="1360"/>
  </r>
  <r>
    <m/>
    <m/>
    <x v="47"/>
    <x v="0"/>
    <x v="1"/>
    <x v="3"/>
    <n v="58"/>
    <n v="0"/>
    <n v="58"/>
    <n v="0"/>
    <n v="25.775862068965516"/>
    <n v="1495"/>
    <m/>
    <n v="1495"/>
  </r>
  <r>
    <m/>
    <m/>
    <x v="48"/>
    <x v="0"/>
    <x v="1"/>
    <x v="4"/>
    <n v="348"/>
    <n v="0"/>
    <n v="348"/>
    <n v="0"/>
    <n v="17.166666666666668"/>
    <n v="5974"/>
    <m/>
    <n v="5974"/>
  </r>
  <r>
    <m/>
    <m/>
    <x v="49"/>
    <x v="0"/>
    <x v="1"/>
    <x v="1"/>
    <n v="202"/>
    <n v="0"/>
    <n v="192"/>
    <n v="10"/>
    <n v="24.375"/>
    <n v="4680"/>
    <m/>
    <n v="4680"/>
  </r>
  <r>
    <m/>
    <m/>
    <x v="49"/>
    <x v="0"/>
    <x v="1"/>
    <x v="1"/>
    <n v="200"/>
    <n v="0"/>
    <n v="200"/>
    <n v="0"/>
    <n v="26.9"/>
    <n v="5380"/>
    <m/>
    <n v="5380"/>
  </r>
  <r>
    <m/>
    <m/>
    <x v="50"/>
    <x v="0"/>
    <x v="1"/>
    <x v="1"/>
    <n v="83"/>
    <n v="0"/>
    <n v="83"/>
    <n v="0"/>
    <n v="30"/>
    <n v="2490"/>
    <m/>
    <n v="2490"/>
  </r>
  <r>
    <m/>
    <m/>
    <x v="50"/>
    <x v="0"/>
    <x v="1"/>
    <x v="3"/>
    <n v="26"/>
    <n v="0"/>
    <n v="26"/>
    <n v="0"/>
    <n v="25"/>
    <n v="650"/>
    <m/>
    <n v="650"/>
  </r>
  <r>
    <m/>
    <m/>
    <x v="50"/>
    <x v="0"/>
    <x v="1"/>
    <x v="4"/>
    <n v="19"/>
    <n v="0"/>
    <n v="19"/>
    <n v="0"/>
    <n v="13.684210526315789"/>
    <n v="260"/>
    <m/>
    <n v="260"/>
  </r>
  <r>
    <m/>
    <m/>
    <x v="51"/>
    <x v="0"/>
    <x v="1"/>
    <x v="3"/>
    <n v="119"/>
    <n v="0"/>
    <n v="67"/>
    <n v="52"/>
    <n v="10.522388059701493"/>
    <n v="705"/>
    <m/>
    <n v="705"/>
  </r>
  <r>
    <m/>
    <m/>
    <x v="52"/>
    <x v="0"/>
    <x v="1"/>
    <x v="1"/>
    <n v="348"/>
    <n v="0"/>
    <n v="259"/>
    <n v="89"/>
    <n v="25.637065637065636"/>
    <n v="6640"/>
    <m/>
    <n v="6640"/>
  </r>
  <r>
    <m/>
    <m/>
    <x v="53"/>
    <x v="0"/>
    <x v="1"/>
    <x v="1"/>
    <n v="245"/>
    <n v="0"/>
    <n v="182"/>
    <n v="63"/>
    <n v="26.208791208791208"/>
    <n v="4770"/>
    <m/>
    <n v="4770"/>
  </r>
  <r>
    <m/>
    <m/>
    <x v="54"/>
    <x v="0"/>
    <x v="1"/>
    <x v="1"/>
    <n v="229"/>
    <n v="0"/>
    <n v="229"/>
    <n v="0"/>
    <n v="23.886462882096069"/>
    <n v="5470"/>
    <m/>
    <n v="5470"/>
  </r>
  <r>
    <m/>
    <m/>
    <x v="54"/>
    <x v="0"/>
    <x v="1"/>
    <x v="3"/>
    <n v="86"/>
    <n v="0"/>
    <n v="86"/>
    <n v="0"/>
    <n v="24.651162790697676"/>
    <n v="2120"/>
    <m/>
    <n v="2120"/>
  </r>
  <r>
    <m/>
    <m/>
    <x v="55"/>
    <x v="0"/>
    <x v="1"/>
    <x v="4"/>
    <n v="464"/>
    <n v="0"/>
    <n v="424"/>
    <n v="40"/>
    <n v="22.757075471698112"/>
    <n v="9649"/>
    <m/>
    <n v="9649"/>
  </r>
  <r>
    <m/>
    <m/>
    <x v="56"/>
    <x v="0"/>
    <x v="1"/>
    <x v="1"/>
    <n v="308"/>
    <n v="0"/>
    <n v="264"/>
    <n v="44"/>
    <n v="18.200757575757574"/>
    <n v="4805"/>
    <m/>
    <n v="4805"/>
  </r>
  <r>
    <m/>
    <m/>
    <x v="56"/>
    <x v="0"/>
    <x v="1"/>
    <x v="1"/>
    <n v="262"/>
    <n v="0"/>
    <n v="202"/>
    <n v="60"/>
    <n v="27.153465346534652"/>
    <n v="5485"/>
    <m/>
    <n v="5485"/>
  </r>
  <r>
    <m/>
    <m/>
    <x v="57"/>
    <x v="0"/>
    <x v="1"/>
    <x v="1"/>
    <n v="341"/>
    <n v="0"/>
    <n v="341"/>
    <n v="0"/>
    <n v="28.768328445747802"/>
    <n v="9810"/>
    <m/>
    <n v="9810"/>
  </r>
  <r>
    <m/>
    <m/>
    <x v="58"/>
    <x v="0"/>
    <x v="1"/>
    <x v="4"/>
    <n v="489"/>
    <n v="0"/>
    <n v="489"/>
    <n v="0"/>
    <n v="30.644171779141104"/>
    <n v="14985"/>
    <m/>
    <n v="14985"/>
  </r>
  <r>
    <m/>
    <m/>
    <x v="59"/>
    <x v="0"/>
    <x v="1"/>
    <x v="1"/>
    <n v="250"/>
    <n v="0"/>
    <n v="250"/>
    <n v="0"/>
    <n v="28.6"/>
    <n v="7150"/>
    <m/>
    <n v="7150"/>
  </r>
  <r>
    <m/>
    <m/>
    <x v="60"/>
    <x v="0"/>
    <x v="1"/>
    <x v="3"/>
    <n v="94"/>
    <n v="0"/>
    <n v="94"/>
    <m/>
    <n v="33.617021276595743"/>
    <n v="3160"/>
    <m/>
    <n v="3160"/>
  </r>
  <r>
    <m/>
    <m/>
    <x v="60"/>
    <x v="0"/>
    <x v="1"/>
    <x v="1"/>
    <n v="117"/>
    <n v="0"/>
    <n v="117"/>
    <n v="0"/>
    <n v="30"/>
    <n v="3510"/>
    <m/>
    <n v="3510"/>
  </r>
  <r>
    <m/>
    <m/>
    <x v="60"/>
    <x v="0"/>
    <x v="1"/>
    <x v="4"/>
    <n v="43"/>
    <n v="0"/>
    <n v="38"/>
    <n v="5"/>
    <n v="35.263157894736842"/>
    <n v="1340"/>
    <m/>
    <n v="1340"/>
  </r>
  <r>
    <m/>
    <m/>
    <x v="61"/>
    <x v="0"/>
    <x v="1"/>
    <x v="4"/>
    <n v="177"/>
    <n v="0"/>
    <n v="80"/>
    <n v="97"/>
    <n v="22.225000000000001"/>
    <n v="1778"/>
    <m/>
    <n v="1778"/>
  </r>
  <r>
    <m/>
    <m/>
    <x v="61"/>
    <x v="0"/>
    <x v="1"/>
    <x v="4"/>
    <n v="75"/>
    <n v="0"/>
    <n v="32"/>
    <n v="43"/>
    <n v="33.75"/>
    <n v="1080"/>
    <m/>
    <n v="1080"/>
  </r>
  <r>
    <m/>
    <m/>
    <x v="61"/>
    <x v="0"/>
    <x v="1"/>
    <x v="1"/>
    <n v="115"/>
    <n v="0"/>
    <n v="104"/>
    <n v="11"/>
    <n v="32.54807692307692"/>
    <n v="3385"/>
    <m/>
    <n v="3385"/>
  </r>
  <r>
    <m/>
    <m/>
    <x v="62"/>
    <x v="0"/>
    <x v="1"/>
    <x v="1"/>
    <n v="219"/>
    <n v="0"/>
    <n v="219"/>
    <n v="0"/>
    <n v="22.666666666666668"/>
    <n v="4964"/>
    <m/>
    <n v="4964"/>
  </r>
  <r>
    <m/>
    <m/>
    <x v="63"/>
    <x v="0"/>
    <x v="1"/>
    <x v="4"/>
    <n v="489"/>
    <n v="0"/>
    <n v="470"/>
    <n v="19"/>
    <n v="22.563829787234042"/>
    <n v="10605"/>
    <m/>
    <n v="10605"/>
  </r>
  <r>
    <m/>
    <m/>
    <x v="63"/>
    <x v="0"/>
    <x v="1"/>
    <x v="1"/>
    <n v="211"/>
    <n v="0"/>
    <n v="211"/>
    <n v="0"/>
    <n v="31.421800947867297"/>
    <n v="6630"/>
    <m/>
    <n v="6630"/>
  </r>
  <r>
    <n v="1250"/>
    <m/>
    <x v="64"/>
    <x v="0"/>
    <x v="1"/>
    <x v="6"/>
    <n v="110"/>
    <n v="0"/>
    <n v="110"/>
    <n v="0"/>
    <n v="144"/>
    <n v="15840"/>
    <n v="2664.38"/>
    <n v="13175.619999999999"/>
  </r>
  <r>
    <n v="1250"/>
    <m/>
    <x v="65"/>
    <x v="0"/>
    <x v="1"/>
    <x v="7"/>
    <n v="572"/>
    <n v="0"/>
    <n v="572"/>
    <n v="0"/>
    <n v="4.6328671328671325"/>
    <n v="2650"/>
    <n v="417.63"/>
    <n v="2232.37"/>
  </r>
  <r>
    <n v="1250"/>
    <m/>
    <x v="66"/>
    <x v="0"/>
    <x v="1"/>
    <x v="7"/>
    <n v="930"/>
    <n v="0"/>
    <n v="578"/>
    <n v="352"/>
    <n v="3.5415224913494812"/>
    <n v="2047"/>
    <n v="460"/>
    <n v="1587"/>
  </r>
  <r>
    <n v="1250"/>
    <m/>
    <x v="67"/>
    <x v="0"/>
    <x v="1"/>
    <x v="6"/>
    <n v="233"/>
    <n v="0"/>
    <n v="233"/>
    <n v="0"/>
    <n v="96.05150214592274"/>
    <n v="22380"/>
    <n v="3599.36"/>
    <n v="18780.64"/>
  </r>
  <r>
    <n v="1250"/>
    <m/>
    <x v="67"/>
    <x v="0"/>
    <x v="1"/>
    <x v="7"/>
    <n v="638"/>
    <n v="0"/>
    <n v="638"/>
    <n v="0"/>
    <n v="3.9137931034482758"/>
    <n v="2497"/>
    <m/>
    <n v="2497"/>
  </r>
  <r>
    <n v="1250"/>
    <m/>
    <x v="68"/>
    <x v="0"/>
    <x v="1"/>
    <x v="6"/>
    <n v="235"/>
    <n v="0"/>
    <n v="235"/>
    <n v="0"/>
    <n v="59.702127659574465"/>
    <n v="14030"/>
    <n v="2378.4499999999998"/>
    <n v="11651.55"/>
  </r>
  <r>
    <n v="1250"/>
    <m/>
    <x v="68"/>
    <x v="0"/>
    <x v="1"/>
    <x v="6"/>
    <n v="240"/>
    <n v="0"/>
    <n v="240"/>
    <n v="0"/>
    <n v="70"/>
    <n v="16800"/>
    <n v="2801.4"/>
    <n v="13998.6"/>
  </r>
  <r>
    <n v="1250"/>
    <m/>
    <x v="69"/>
    <x v="0"/>
    <x v="3"/>
    <x v="6"/>
    <n v="78"/>
    <n v="0"/>
    <n v="78"/>
    <n v="0"/>
    <n v="49.743589743589745"/>
    <n v="3880"/>
    <n v="614.54"/>
    <n v="3265.46"/>
  </r>
  <r>
    <n v="1250"/>
    <m/>
    <x v="70"/>
    <x v="0"/>
    <x v="4"/>
    <x v="6"/>
    <n v="200"/>
    <n v="0"/>
    <n v="200"/>
    <n v="0"/>
    <n v="46.575000000000003"/>
    <n v="9315"/>
    <n v="1621.42"/>
    <n v="7693.58"/>
  </r>
  <r>
    <n v="1250"/>
    <m/>
    <x v="71"/>
    <x v="0"/>
    <x v="3"/>
    <x v="6"/>
    <n v="200"/>
    <n v="0"/>
    <n v="115"/>
    <n v="85"/>
    <n v="31.478260869565219"/>
    <n v="3620"/>
    <n v="562.01"/>
    <n v="3057.99"/>
  </r>
  <r>
    <n v="1250"/>
    <m/>
    <x v="71"/>
    <x v="0"/>
    <x v="5"/>
    <x v="6"/>
    <n v="152"/>
    <n v="0"/>
    <n v="152"/>
    <n v="0"/>
    <n v="41.75"/>
    <n v="6346"/>
    <n v="983.23"/>
    <n v="5362.77"/>
  </r>
  <r>
    <n v="1250"/>
    <n v="32728"/>
    <x v="71"/>
    <x v="0"/>
    <x v="2"/>
    <x v="6"/>
    <n v="200"/>
    <n v="0"/>
    <n v="200"/>
    <n v="0"/>
    <n v="48.774999999999999"/>
    <n v="9755"/>
    <n v="1490.57"/>
    <n v="8264.43"/>
  </r>
  <r>
    <n v="1250"/>
    <m/>
    <x v="72"/>
    <x v="0"/>
    <x v="1"/>
    <x v="6"/>
    <n v="200"/>
    <n v="0"/>
    <n v="200"/>
    <n v="0"/>
    <n v="70"/>
    <n v="14000"/>
    <n v="2357.5"/>
    <n v="11642.5"/>
  </r>
  <r>
    <n v="1250"/>
    <m/>
    <x v="72"/>
    <x v="0"/>
    <x v="1"/>
    <x v="6"/>
    <n v="200"/>
    <n v="0"/>
    <n v="200"/>
    <n v="0"/>
    <n v="70"/>
    <n v="14000"/>
    <n v="2334.5"/>
    <n v="11665.5"/>
  </r>
  <r>
    <n v="1250"/>
    <m/>
    <x v="73"/>
    <x v="0"/>
    <x v="3"/>
    <x v="6"/>
    <n v="96"/>
    <n v="0"/>
    <n v="96"/>
    <n v="0"/>
    <n v="54.583333333333336"/>
    <n v="5240"/>
    <n v="825.66"/>
    <n v="4414.34"/>
  </r>
  <r>
    <n v="1250"/>
    <m/>
    <x v="74"/>
    <x v="0"/>
    <x v="5"/>
    <x v="6"/>
    <n v="150"/>
    <n v="0"/>
    <n v="150"/>
    <n v="0"/>
    <n v="93.333333333333329"/>
    <n v="14000"/>
    <n v="2035.51"/>
    <n v="11964.49"/>
  </r>
  <r>
    <n v="1250"/>
    <m/>
    <x v="74"/>
    <x v="0"/>
    <x v="3"/>
    <x v="6"/>
    <n v="182"/>
    <n v="0"/>
    <n v="182"/>
    <n v="0"/>
    <n v="67.714285714285708"/>
    <n v="12324"/>
    <n v="1925.45"/>
    <n v="10398.549999999999"/>
  </r>
  <r>
    <n v="1250"/>
    <m/>
    <x v="74"/>
    <x v="0"/>
    <x v="4"/>
    <x v="6"/>
    <n v="162"/>
    <n v="0"/>
    <n v="162"/>
    <n v="0"/>
    <n v="93.333333333333329"/>
    <n v="15120"/>
    <n v="2553.6"/>
    <n v="12566.4"/>
  </r>
  <r>
    <n v="1250"/>
    <m/>
    <x v="74"/>
    <x v="0"/>
    <x v="1"/>
    <x v="6"/>
    <n v="133"/>
    <n v="0"/>
    <n v="133"/>
    <n v="0"/>
    <n v="104.06015037593986"/>
    <n v="13840"/>
    <n v="2012.59"/>
    <n v="11827.41"/>
  </r>
  <r>
    <n v="1250"/>
    <m/>
    <x v="75"/>
    <x v="0"/>
    <x v="5"/>
    <x v="6"/>
    <n v="160"/>
    <n v="0"/>
    <n v="160"/>
    <n v="0"/>
    <n v="92.1875"/>
    <n v="14750"/>
    <n v="2120.34"/>
    <n v="12629.66"/>
  </r>
  <r>
    <n v="1250"/>
    <m/>
    <x v="75"/>
    <x v="0"/>
    <x v="5"/>
    <x v="6"/>
    <n v="135"/>
    <n v="0"/>
    <n v="135"/>
    <n v="0"/>
    <n v="90"/>
    <n v="12150"/>
    <n v="1746.57"/>
    <n v="10403.43"/>
  </r>
  <r>
    <n v="1250"/>
    <m/>
    <x v="76"/>
    <x v="0"/>
    <x v="3"/>
    <x v="6"/>
    <n v="150"/>
    <n v="22"/>
    <n v="128"/>
    <n v="0"/>
    <n v="84.481640624999997"/>
    <n v="10813.65"/>
    <n v="1600.11"/>
    <n v="9213.5399999999991"/>
  </r>
  <r>
    <n v="1250"/>
    <m/>
    <x v="76"/>
    <x v="0"/>
    <x v="5"/>
    <x v="6"/>
    <n v="172"/>
    <n v="0"/>
    <n v="172"/>
    <n v="0"/>
    <n v="103.72093023255815"/>
    <n v="17840"/>
    <n v="2564.5"/>
    <n v="15275.5"/>
  </r>
  <r>
    <n v="1250"/>
    <m/>
    <x v="77"/>
    <x v="0"/>
    <x v="1"/>
    <x v="6"/>
    <n v="150"/>
    <n v="0"/>
    <n v="150"/>
    <n v="0"/>
    <n v="105.86666666666666"/>
    <n v="15880"/>
    <n v="2317.38"/>
    <n v="13562.619999999999"/>
  </r>
  <r>
    <n v="1250"/>
    <n v="5165593"/>
    <x v="78"/>
    <x v="0"/>
    <x v="6"/>
    <x v="6"/>
    <n v="172"/>
    <n v="0"/>
    <n v="135"/>
    <n v="37"/>
    <n v="52.444444444444443"/>
    <n v="7080"/>
    <n v="1147.43"/>
    <n v="5932.57"/>
  </r>
  <r>
    <n v="1250"/>
    <n v="5165803"/>
    <x v="78"/>
    <x v="0"/>
    <x v="6"/>
    <x v="6"/>
    <n v="183"/>
    <n v="0"/>
    <n v="183"/>
    <n v="0"/>
    <n v="91.453551912568301"/>
    <n v="16736"/>
    <n v="2515.85"/>
    <n v="14220.15"/>
  </r>
  <r>
    <n v="1250"/>
    <m/>
    <x v="78"/>
    <x v="0"/>
    <x v="5"/>
    <x v="6"/>
    <n v="180"/>
    <n v="0"/>
    <n v="180"/>
    <n v="0"/>
    <n v="71.666666666666671"/>
    <n v="12900"/>
    <n v="1854.38"/>
    <n v="11045.619999999999"/>
  </r>
  <r>
    <n v="1250"/>
    <m/>
    <x v="79"/>
    <x v="0"/>
    <x v="5"/>
    <x v="6"/>
    <n v="139"/>
    <n v="0"/>
    <n v="139"/>
    <n v="0"/>
    <n v="78.633093525179859"/>
    <n v="10930"/>
    <n v="1748.21"/>
    <n v="9181.7900000000009"/>
  </r>
  <r>
    <n v="1250"/>
    <m/>
    <x v="79"/>
    <x v="0"/>
    <x v="1"/>
    <x v="6"/>
    <n v="150"/>
    <n v="0"/>
    <n v="150"/>
    <n v="0"/>
    <n v="68.666666666666671"/>
    <n v="10300"/>
    <n v="1551.92"/>
    <n v="8748.08"/>
  </r>
  <r>
    <n v="1250"/>
    <m/>
    <x v="79"/>
    <x v="0"/>
    <x v="5"/>
    <x v="6"/>
    <n v="144"/>
    <n v="0"/>
    <n v="144"/>
    <n v="0"/>
    <n v="48.75"/>
    <n v="7020"/>
    <n v="123"/>
    <n v="6897"/>
  </r>
  <r>
    <n v="1250"/>
    <m/>
    <x v="80"/>
    <x v="0"/>
    <x v="7"/>
    <x v="6"/>
    <n v="150"/>
    <n v="0"/>
    <n v="150"/>
    <n v="0"/>
    <n v="100"/>
    <n v="15000"/>
    <n v="2242.5"/>
    <n v="12757.5"/>
  </r>
  <r>
    <n v="1250"/>
    <m/>
    <x v="80"/>
    <x v="0"/>
    <x v="7"/>
    <x v="6"/>
    <n v="150"/>
    <n v="0"/>
    <n v="150"/>
    <n v="0"/>
    <n v="100"/>
    <n v="15000"/>
    <n v="2242.5"/>
    <n v="12757.5"/>
  </r>
  <r>
    <n v="1250"/>
    <m/>
    <x v="80"/>
    <x v="0"/>
    <x v="7"/>
    <x v="6"/>
    <n v="150"/>
    <n v="0"/>
    <n v="150"/>
    <n v="0"/>
    <n v="100"/>
    <n v="15000"/>
    <n v="2268.7199999999998"/>
    <n v="12731.28"/>
  </r>
  <r>
    <n v="1250"/>
    <m/>
    <x v="81"/>
    <x v="0"/>
    <x v="5"/>
    <x v="6"/>
    <n v="141"/>
    <n v="0"/>
    <n v="70"/>
    <n v="71"/>
    <n v="30.428571428571427"/>
    <n v="2130"/>
    <n v="313.31"/>
    <n v="1816.69"/>
  </r>
  <r>
    <n v="1250"/>
    <m/>
    <x v="81"/>
    <x v="0"/>
    <x v="1"/>
    <x v="6"/>
    <n v="150"/>
    <n v="0"/>
    <n v="69"/>
    <n v="81"/>
    <n v="51.014492753623188"/>
    <n v="3520"/>
    <n v="727.98"/>
    <n v="2792.02"/>
  </r>
  <r>
    <n v="1250"/>
    <m/>
    <x v="82"/>
    <x v="0"/>
    <x v="7"/>
    <x v="6"/>
    <n v="150"/>
    <n v="0"/>
    <n v="150"/>
    <n v="0"/>
    <n v="80"/>
    <n v="12000"/>
    <n v="1820.22"/>
    <n v="10179.780000000001"/>
  </r>
  <r>
    <n v="1250"/>
    <m/>
    <x v="83"/>
    <x v="0"/>
    <x v="7"/>
    <x v="6"/>
    <n v="150"/>
    <n v="0"/>
    <n v="150"/>
    <n v="0"/>
    <n v="60"/>
    <n v="9000"/>
    <n v="1345.5"/>
    <n v="7654.5"/>
  </r>
  <r>
    <n v="1250"/>
    <m/>
    <x v="83"/>
    <x v="0"/>
    <x v="7"/>
    <x v="6"/>
    <n v="150"/>
    <n v="0"/>
    <n v="150"/>
    <n v="0"/>
    <n v="60"/>
    <n v="9000"/>
    <n v="1345.5"/>
    <n v="7654.5"/>
  </r>
  <r>
    <n v="1250"/>
    <m/>
    <x v="84"/>
    <x v="0"/>
    <x v="7"/>
    <x v="6"/>
    <n v="150"/>
    <n v="0"/>
    <n v="150"/>
    <n v="0"/>
    <n v="25.066666666666666"/>
    <n v="3760"/>
    <n v="317.75"/>
    <n v="3442.25"/>
  </r>
  <r>
    <n v="1250"/>
    <m/>
    <x v="84"/>
    <x v="0"/>
    <x v="7"/>
    <x v="6"/>
    <n v="150"/>
    <n v="0"/>
    <n v="150"/>
    <n v="0"/>
    <n v="30"/>
    <n v="4500"/>
    <n v="672.75"/>
    <n v="3827.25"/>
  </r>
  <r>
    <n v="1250"/>
    <m/>
    <x v="84"/>
    <x v="0"/>
    <x v="7"/>
    <x v="6"/>
    <n v="150"/>
    <n v="0"/>
    <n v="150"/>
    <n v="0"/>
    <n v="31"/>
    <n v="4650"/>
    <n v="695.18"/>
    <n v="3954.82"/>
  </r>
  <r>
    <n v="1250"/>
    <m/>
    <x v="85"/>
    <x v="0"/>
    <x v="7"/>
    <x v="6"/>
    <n v="150"/>
    <n v="0"/>
    <n v="150"/>
    <n v="0"/>
    <n v="20"/>
    <n v="3000"/>
    <n v="438.45"/>
    <n v="2561.5500000000002"/>
  </r>
  <r>
    <n v="1250"/>
    <m/>
    <x v="85"/>
    <x v="0"/>
    <x v="7"/>
    <x v="6"/>
    <n v="150"/>
    <n v="0"/>
    <n v="150"/>
    <n v="0"/>
    <n v="20"/>
    <n v="3000"/>
    <n v="438.45"/>
    <n v="2561.5500000000002"/>
  </r>
  <r>
    <n v="1250"/>
    <m/>
    <x v="86"/>
    <x v="0"/>
    <x v="3"/>
    <x v="6"/>
    <n v="100"/>
    <n v="0"/>
    <n v="4"/>
    <n v="96"/>
    <n v="30"/>
    <n v="120"/>
    <n v="30.79"/>
    <n v="89.210000000000008"/>
  </r>
  <r>
    <n v="1250"/>
    <m/>
    <x v="86"/>
    <x v="0"/>
    <x v="7"/>
    <x v="6"/>
    <n v="150"/>
    <n v="0"/>
    <n v="150"/>
    <n v="0"/>
    <n v="20"/>
    <n v="3000"/>
    <n v="438.45"/>
    <n v="2561.5500000000002"/>
  </r>
  <r>
    <n v="2875"/>
    <m/>
    <x v="87"/>
    <x v="0"/>
    <x v="7"/>
    <x v="6"/>
    <n v="700"/>
    <n v="0"/>
    <n v="700"/>
    <n v="0"/>
    <n v="20"/>
    <n v="14000"/>
    <n v="2269.3000000000002"/>
    <n v="11730.7"/>
  </r>
  <r>
    <n v="2875"/>
    <m/>
    <x v="88"/>
    <x v="0"/>
    <x v="5"/>
    <x v="6"/>
    <n v="450"/>
    <n v="0"/>
    <n v="268"/>
    <n v="182"/>
    <n v="22.854477611940297"/>
    <n v="6125"/>
    <n v="1011.4"/>
    <n v="5113.6000000000004"/>
  </r>
  <r>
    <n v="2875"/>
    <m/>
    <x v="89"/>
    <x v="0"/>
    <x v="7"/>
    <x v="6"/>
    <n v="700"/>
    <n v="0"/>
    <n v="548"/>
    <n v="152"/>
    <n v="20.638686131386862"/>
    <n v="11310"/>
    <n v="2069.69"/>
    <n v="9240.31"/>
  </r>
  <r>
    <n v="1250"/>
    <m/>
    <x v="90"/>
    <x v="0"/>
    <x v="7"/>
    <x v="6"/>
    <n v="60"/>
    <n v="0"/>
    <n v="60"/>
    <n v="0"/>
    <n v="20"/>
    <n v="1200"/>
    <n v="191.99"/>
    <n v="1008.01"/>
  </r>
  <r>
    <n v="1250"/>
    <m/>
    <x v="91"/>
    <x v="0"/>
    <x v="7"/>
    <x v="6"/>
    <n v="70"/>
    <n v="0"/>
    <n v="70"/>
    <n v="0"/>
    <n v="20"/>
    <n v="1400"/>
    <n v="259.66000000000003"/>
    <n v="1140.3399999999999"/>
  </r>
  <r>
    <n v="1250"/>
    <m/>
    <x v="92"/>
    <x v="0"/>
    <x v="7"/>
    <x v="5"/>
    <n v="625"/>
    <n v="0"/>
    <n v="312"/>
    <n v="313"/>
    <n v="6.740384615384615"/>
    <n v="2103"/>
    <n v="346.39"/>
    <n v="1756.6100000000001"/>
  </r>
  <r>
    <m/>
    <m/>
    <x v="92"/>
    <x v="0"/>
    <x v="7"/>
    <x v="6"/>
    <n v="49"/>
    <n v="0"/>
    <n v="49"/>
    <n v="0"/>
    <n v="20"/>
    <n v="980"/>
    <n v="159.1"/>
    <n v="820.9"/>
  </r>
  <r>
    <n v="1250"/>
    <m/>
    <x v="93"/>
    <x v="0"/>
    <x v="7"/>
    <x v="6"/>
    <n v="150"/>
    <n v="0"/>
    <n v="150"/>
    <n v="0"/>
    <n v="26.666666666666668"/>
    <n v="4000"/>
    <n v="568.65"/>
    <n v="3431.35"/>
  </r>
  <r>
    <n v="1250"/>
    <m/>
    <x v="94"/>
    <x v="0"/>
    <x v="7"/>
    <x v="5"/>
    <n v="806"/>
    <n v="0"/>
    <n v="117"/>
    <n v="689"/>
    <n v="3.017094017094017"/>
    <n v="353"/>
    <n v="203.9"/>
    <n v="149.1"/>
  </r>
  <r>
    <m/>
    <m/>
    <x v="94"/>
    <x v="0"/>
    <x v="7"/>
    <x v="6"/>
    <n v="100"/>
    <n v="0"/>
    <n v="100"/>
    <n v="0"/>
    <n v="30"/>
    <n v="3000"/>
    <n v="448.5"/>
    <n v="2551.5"/>
  </r>
  <r>
    <n v="1250"/>
    <m/>
    <x v="95"/>
    <x v="0"/>
    <x v="7"/>
    <x v="5"/>
    <n v="712"/>
    <n v="0"/>
    <n v="199"/>
    <n v="513"/>
    <n v="2"/>
    <n v="398"/>
    <n v="150.83000000000001"/>
    <n v="247.17"/>
  </r>
  <r>
    <n v="1250"/>
    <m/>
    <x v="96"/>
    <x v="0"/>
    <x v="7"/>
    <x v="5"/>
    <n v="150"/>
    <n v="0"/>
    <n v="7"/>
    <n v="143"/>
    <n v="31.428571428571427"/>
    <n v="220"/>
    <n v="119.03"/>
    <n v="100.97"/>
  </r>
  <r>
    <m/>
    <m/>
    <x v="97"/>
    <x v="0"/>
    <x v="7"/>
    <x v="5"/>
    <n v="550"/>
    <n v="0"/>
    <n v="24"/>
    <n v="526"/>
    <n v="4.375"/>
    <n v="105"/>
    <n v="43.77"/>
    <n v="61.23"/>
  </r>
  <r>
    <m/>
    <m/>
    <x v="98"/>
    <x v="0"/>
    <x v="7"/>
    <x v="5"/>
    <n v="856"/>
    <n v="0"/>
    <n v="96"/>
    <n v="760"/>
    <n v="4"/>
    <n v="384"/>
    <n v="68.91"/>
    <n v="315.09000000000003"/>
  </r>
  <r>
    <m/>
    <m/>
    <x v="99"/>
    <x v="0"/>
    <x v="3"/>
    <x v="3"/>
    <n v="99"/>
    <n v="0"/>
    <n v="99"/>
    <n v="0"/>
    <n v="15.808080808080808"/>
    <n v="1565"/>
    <n v="255.17"/>
    <n v="1309.83"/>
  </r>
  <r>
    <m/>
    <n v="69062"/>
    <x v="100"/>
    <x v="0"/>
    <x v="7"/>
    <x v="3"/>
    <n v="670"/>
    <n v="0"/>
    <n v="670"/>
    <n v="0"/>
    <n v="50"/>
    <n v="33500"/>
    <n v="5034.47"/>
    <n v="28465.53"/>
  </r>
  <r>
    <m/>
    <n v="6906"/>
    <x v="101"/>
    <x v="0"/>
    <x v="7"/>
    <x v="3"/>
    <n v="124"/>
    <n v="0"/>
    <n v="124"/>
    <n v="0"/>
    <n v="25.241935483870968"/>
    <n v="3130"/>
    <n v="594.91999999999996"/>
    <n v="2535.08"/>
  </r>
  <r>
    <m/>
    <m/>
    <x v="102"/>
    <x v="0"/>
    <x v="8"/>
    <x v="3"/>
    <n v="396"/>
    <n v="68"/>
    <n v="328"/>
    <n v="0"/>
    <n v="27.088414634146343"/>
    <n v="8885"/>
    <n v="1570.75"/>
    <n v="7314.25"/>
  </r>
  <r>
    <m/>
    <n v="69063"/>
    <x v="102"/>
    <x v="0"/>
    <x v="7"/>
    <x v="3"/>
    <n v="124"/>
    <n v="0"/>
    <n v="124"/>
    <n v="0"/>
    <n v="24.677419354838708"/>
    <n v="3060"/>
    <n v="533.04"/>
    <n v="2526.96"/>
  </r>
  <r>
    <m/>
    <n v="69064"/>
    <x v="103"/>
    <x v="0"/>
    <x v="7"/>
    <x v="3"/>
    <n v="70"/>
    <n v="0"/>
    <n v="70"/>
    <n v="0"/>
    <n v="15"/>
    <n v="1050"/>
    <n v="194.77"/>
    <n v="855.23"/>
  </r>
  <r>
    <m/>
    <n v="69065"/>
    <x v="104"/>
    <x v="0"/>
    <x v="7"/>
    <x v="3"/>
    <n v="378"/>
    <n v="0"/>
    <n v="378"/>
    <n v="0"/>
    <n v="18.047619047619047"/>
    <n v="6822"/>
    <n v="1019.89"/>
    <n v="5802.11"/>
  </r>
  <r>
    <m/>
    <n v="69066"/>
    <x v="105"/>
    <x v="0"/>
    <x v="7"/>
    <x v="3"/>
    <n v="423"/>
    <n v="0"/>
    <n v="423"/>
    <n v="0"/>
    <n v="18"/>
    <n v="7614"/>
    <n v="1138.29"/>
    <n v="6475.71"/>
  </r>
  <r>
    <m/>
    <n v="69066"/>
    <x v="105"/>
    <x v="1"/>
    <x v="7"/>
    <x v="8"/>
    <n v="22"/>
    <n v="0"/>
    <n v="22"/>
    <n v="0"/>
    <n v="30"/>
    <n v="660"/>
    <n v="98.67"/>
    <n v="561.33000000000004"/>
  </r>
  <r>
    <m/>
    <m/>
    <x v="106"/>
    <x v="1"/>
    <x v="5"/>
    <x v="8"/>
    <n v="51"/>
    <n v="18"/>
    <n v="33"/>
    <n v="0"/>
    <n v="30"/>
    <n v="990"/>
    <n v="142.33000000000001"/>
    <n v="847.67"/>
  </r>
  <r>
    <m/>
    <n v="9453"/>
    <x v="106"/>
    <x v="1"/>
    <x v="5"/>
    <x v="3"/>
    <n v="30"/>
    <n v="0"/>
    <n v="27"/>
    <n v="3"/>
    <n v="80"/>
    <n v="2160"/>
    <n v="335.49"/>
    <n v="1824.51"/>
  </r>
  <r>
    <m/>
    <n v="4504"/>
    <x v="107"/>
    <x v="1"/>
    <x v="5"/>
    <x v="8"/>
    <n v="63"/>
    <n v="0"/>
    <n v="26"/>
    <n v="37"/>
    <n v="35.192307692307693"/>
    <n v="915"/>
    <n v="137.94999999999999"/>
    <n v="777.05"/>
  </r>
  <r>
    <m/>
    <n v="69067"/>
    <x v="108"/>
    <x v="0"/>
    <x v="7"/>
    <x v="3"/>
    <n v="792"/>
    <n v="0"/>
    <n v="792"/>
    <n v="0"/>
    <n v="32.013888888888886"/>
    <n v="25355"/>
    <n v="3968.95"/>
    <n v="21386.05"/>
  </r>
  <r>
    <m/>
    <n v="5244891"/>
    <x v="109"/>
    <x v="1"/>
    <x v="6"/>
    <x v="8"/>
    <n v="18"/>
    <n v="0"/>
    <n v="1"/>
    <n v="17"/>
    <n v="30"/>
    <n v="30"/>
    <n v="4.49"/>
    <n v="25.509999999999998"/>
  </r>
  <r>
    <m/>
    <n v="9108"/>
    <x v="110"/>
    <x v="0"/>
    <x v="5"/>
    <x v="3"/>
    <n v="891"/>
    <n v="0"/>
    <n v="675"/>
    <n v="216"/>
    <n v="26.718518518518518"/>
    <n v="18035"/>
    <n v="2641.72"/>
    <n v="15393.28"/>
  </r>
  <r>
    <m/>
    <m/>
    <x v="110"/>
    <x v="1"/>
    <x v="5"/>
    <x v="8"/>
    <n v="205"/>
    <n v="142"/>
    <n v="63"/>
    <n v="0"/>
    <n v="25.714285714285715"/>
    <n v="1620"/>
    <m/>
    <n v="1620"/>
  </r>
  <r>
    <m/>
    <n v="69068"/>
    <x v="111"/>
    <x v="0"/>
    <x v="7"/>
    <x v="3"/>
    <n v="480"/>
    <n v="0"/>
    <n v="480"/>
    <n v="0"/>
    <n v="22.90625"/>
    <n v="10995"/>
    <n v="1716.08"/>
    <n v="9278.92"/>
  </r>
  <r>
    <m/>
    <n v="69069"/>
    <x v="112"/>
    <x v="0"/>
    <x v="7"/>
    <x v="3"/>
    <n v="810"/>
    <n v="0"/>
    <n v="810"/>
    <n v="0"/>
    <n v="70"/>
    <n v="56700"/>
    <n v="8476.65"/>
    <n v="48223.35"/>
  </r>
  <r>
    <m/>
    <n v="5248318"/>
    <x v="112"/>
    <x v="1"/>
    <x v="6"/>
    <x v="8"/>
    <n v="160"/>
    <n v="0"/>
    <n v="160"/>
    <n v="0"/>
    <n v="42.693750000000001"/>
    <n v="6831"/>
    <n v="1035"/>
    <n v="5796"/>
  </r>
  <r>
    <m/>
    <n v="5249337"/>
    <x v="113"/>
    <x v="1"/>
    <x v="6"/>
    <x v="8"/>
    <n v="74"/>
    <n v="0"/>
    <n v="72"/>
    <n v="2"/>
    <n v="48.055555555555557"/>
    <n v="3460"/>
    <n v="517.44000000000005"/>
    <n v="2942.56"/>
  </r>
  <r>
    <m/>
    <n v="69070"/>
    <x v="113"/>
    <x v="0"/>
    <x v="7"/>
    <x v="3"/>
    <n v="990"/>
    <n v="0"/>
    <n v="990"/>
    <n v="0"/>
    <n v="40.869696969696967"/>
    <n v="40461"/>
    <n v="6075.14"/>
    <n v="34385.86"/>
  </r>
  <r>
    <m/>
    <n v="5250107"/>
    <x v="114"/>
    <x v="1"/>
    <x v="6"/>
    <x v="8"/>
    <n v="135"/>
    <n v="0"/>
    <n v="135"/>
    <n v="0"/>
    <n v="63.407407407407405"/>
    <n v="8560"/>
    <n v="1293.53"/>
    <n v="7266.47"/>
  </r>
  <r>
    <m/>
    <n v="69071"/>
    <x v="114"/>
    <x v="0"/>
    <x v="7"/>
    <x v="3"/>
    <n v="792"/>
    <n v="0"/>
    <n v="792"/>
    <n v="0"/>
    <n v="15.347222222222221"/>
    <n v="12155"/>
    <n v="2849.79"/>
    <n v="9305.2099999999991"/>
  </r>
  <r>
    <m/>
    <n v="5252457"/>
    <x v="115"/>
    <x v="1"/>
    <x v="6"/>
    <x v="8"/>
    <n v="163"/>
    <n v="0"/>
    <n v="163"/>
    <n v="0"/>
    <n v="50.552147239263803"/>
    <n v="8240"/>
    <n v="1245.68"/>
    <n v="6994.32"/>
  </r>
  <r>
    <m/>
    <n v="69072"/>
    <x v="115"/>
    <x v="0"/>
    <x v="7"/>
    <x v="3"/>
    <n v="918"/>
    <n v="0"/>
    <n v="918"/>
    <n v="0"/>
    <n v="29.580610021786491"/>
    <n v="27155"/>
    <n v="4085.92"/>
    <n v="23069.08"/>
  </r>
  <r>
    <m/>
    <n v="69073"/>
    <x v="116"/>
    <x v="0"/>
    <x v="7"/>
    <x v="3"/>
    <n v="819"/>
    <n v="0"/>
    <n v="628"/>
    <n v="191"/>
    <n v="22.340764331210192"/>
    <n v="14030"/>
    <n v="2297.12"/>
    <n v="11732.880000000001"/>
  </r>
  <r>
    <m/>
    <n v="5253380"/>
    <x v="116"/>
    <x v="1"/>
    <x v="6"/>
    <x v="8"/>
    <n v="59"/>
    <n v="0"/>
    <n v="59"/>
    <n v="0"/>
    <n v="56.440677966101696"/>
    <n v="3330"/>
    <n v="497.85"/>
    <n v="2832.15"/>
  </r>
  <r>
    <m/>
    <m/>
    <x v="116"/>
    <x v="0"/>
    <x v="9"/>
    <x v="3"/>
    <n v="720"/>
    <n v="296"/>
    <n v="424"/>
    <n v="0"/>
    <n v="35.011792452830186"/>
    <n v="14845"/>
    <n v="2133.9899999999998"/>
    <n v="12711.01"/>
  </r>
  <r>
    <m/>
    <n v="69074"/>
    <x v="117"/>
    <x v="0"/>
    <x v="7"/>
    <x v="3"/>
    <n v="864"/>
    <n v="0"/>
    <n v="864"/>
    <n v="0"/>
    <n v="25"/>
    <n v="21600"/>
    <n v="3229.2"/>
    <n v="18370.8"/>
  </r>
  <r>
    <m/>
    <n v="5254651"/>
    <x v="117"/>
    <x v="1"/>
    <x v="6"/>
    <x v="8"/>
    <n v="47"/>
    <n v="0"/>
    <n v="31"/>
    <n v="16"/>
    <n v="53.225806451612904"/>
    <n v="1650"/>
    <n v="246.68"/>
    <n v="1403.32"/>
  </r>
  <r>
    <m/>
    <n v="69074"/>
    <x v="117"/>
    <x v="0"/>
    <x v="7"/>
    <x v="9"/>
    <n v="79"/>
    <n v="54"/>
    <n v="25"/>
    <n v="0"/>
    <n v="17.2"/>
    <n v="430"/>
    <n v="26.91"/>
    <n v="403.09"/>
  </r>
  <r>
    <m/>
    <n v="69075"/>
    <x v="118"/>
    <x v="0"/>
    <x v="7"/>
    <x v="3"/>
    <n v="573"/>
    <n v="0"/>
    <n v="455"/>
    <n v="118"/>
    <n v="14.549450549450549"/>
    <n v="6620"/>
    <n v="515.78"/>
    <n v="6104.22"/>
  </r>
  <r>
    <m/>
    <n v="69075"/>
    <x v="118"/>
    <x v="0"/>
    <x v="7"/>
    <x v="9"/>
    <n v="58"/>
    <n v="0"/>
    <n v="9"/>
    <n v="49"/>
    <n v="25"/>
    <n v="225"/>
    <n v="70.3"/>
    <n v="154.69999999999999"/>
  </r>
  <r>
    <m/>
    <n v="5255634"/>
    <x v="118"/>
    <x v="1"/>
    <x v="6"/>
    <x v="8"/>
    <n v="103"/>
    <n v="0"/>
    <n v="85"/>
    <n v="18"/>
    <n v="54.117647058823529"/>
    <n v="4600"/>
    <n v="714.1"/>
    <n v="3885.9"/>
  </r>
  <r>
    <m/>
    <n v="5256413"/>
    <x v="119"/>
    <x v="1"/>
    <x v="6"/>
    <x v="8"/>
    <n v="64"/>
    <n v="0"/>
    <n v="64"/>
    <n v="0"/>
    <n v="44.84375"/>
    <n v="2870"/>
    <n v="429.07"/>
    <n v="2440.9299999999998"/>
  </r>
  <r>
    <m/>
    <n v="69076"/>
    <x v="119"/>
    <x v="0"/>
    <x v="7"/>
    <x v="3"/>
    <n v="747"/>
    <n v="0"/>
    <n v="747"/>
    <n v="0"/>
    <n v="15.38152610441767"/>
    <n v="11490"/>
    <n v="1918.35"/>
    <n v="9571.65"/>
  </r>
  <r>
    <m/>
    <n v="69076"/>
    <x v="119"/>
    <x v="0"/>
    <x v="7"/>
    <x v="10"/>
    <n v="97"/>
    <n v="97"/>
    <n v="0"/>
    <n v="0"/>
    <e v="#DIV/0!"/>
    <n v="0"/>
    <m/>
    <n v="0"/>
  </r>
  <r>
    <m/>
    <m/>
    <x v="120"/>
    <x v="0"/>
    <x v="9"/>
    <x v="3"/>
    <n v="655"/>
    <n v="655"/>
    <n v="0"/>
    <n v="0"/>
    <e v="#DIV/0!"/>
    <m/>
    <m/>
    <n v="0"/>
  </r>
  <r>
    <m/>
    <m/>
    <x v="120"/>
    <x v="0"/>
    <x v="9"/>
    <x v="10"/>
    <n v="37"/>
    <n v="37"/>
    <n v="0"/>
    <n v="0"/>
    <e v="#DIV/0!"/>
    <m/>
    <m/>
    <n v="0"/>
  </r>
  <r>
    <m/>
    <m/>
    <x v="120"/>
    <x v="1"/>
    <x v="9"/>
    <x v="8"/>
    <n v="56"/>
    <n v="0"/>
    <n v="56"/>
    <m/>
    <n v="40"/>
    <n v="2240"/>
    <n v="322"/>
    <n v="1918"/>
  </r>
  <r>
    <m/>
    <m/>
    <x v="121"/>
    <x v="0"/>
    <x v="9"/>
    <x v="3"/>
    <n v="644"/>
    <n v="252"/>
    <n v="392"/>
    <n v="0"/>
    <n v="30.26530612244898"/>
    <n v="11864"/>
    <n v="1815.68"/>
    <n v="10048.32"/>
  </r>
  <r>
    <m/>
    <n v="69077"/>
    <x v="122"/>
    <x v="0"/>
    <x v="7"/>
    <x v="3"/>
    <n v="738"/>
    <n v="0"/>
    <n v="738"/>
    <m/>
    <n v="19.857723577235774"/>
    <n v="14655"/>
    <n v="2273.91"/>
    <n v="12381.09"/>
  </r>
  <r>
    <m/>
    <n v="69077"/>
    <x v="122"/>
    <x v="0"/>
    <x v="7"/>
    <x v="10"/>
    <n v="108"/>
    <n v="51"/>
    <n v="57"/>
    <n v="0"/>
    <n v="25"/>
    <n v="1425"/>
    <n v="213.04"/>
    <n v="1211.96"/>
  </r>
  <r>
    <m/>
    <m/>
    <x v="123"/>
    <x v="0"/>
    <x v="9"/>
    <x v="10"/>
    <n v="162"/>
    <n v="158"/>
    <n v="4"/>
    <n v="0"/>
    <n v="30"/>
    <n v="120"/>
    <n v="33.56"/>
    <n v="86.44"/>
  </r>
  <r>
    <m/>
    <m/>
    <x v="123"/>
    <x v="1"/>
    <x v="9"/>
    <x v="8"/>
    <n v="154"/>
    <n v="131"/>
    <n v="23"/>
    <n v="0"/>
    <n v="38.695652173913047"/>
    <n v="890"/>
    <n v="122.82"/>
    <n v="767.18000000000006"/>
  </r>
  <r>
    <m/>
    <n v="5260009"/>
    <x v="123"/>
    <x v="1"/>
    <x v="6"/>
    <x v="8"/>
    <n v="26"/>
    <n v="0"/>
    <n v="26"/>
    <n v="0"/>
    <n v="60.384615384615387"/>
    <n v="1570"/>
    <n v="253.35"/>
    <n v="1316.65"/>
  </r>
  <r>
    <m/>
    <n v="69078"/>
    <x v="123"/>
    <x v="0"/>
    <x v="7"/>
    <x v="3"/>
    <n v="771"/>
    <n v="636"/>
    <n v="135"/>
    <n v="0"/>
    <n v="14.888888888888889"/>
    <n v="2010"/>
    <n v="344.66"/>
    <n v="1665.34"/>
  </r>
  <r>
    <m/>
    <n v="69078"/>
    <x v="123"/>
    <x v="0"/>
    <x v="7"/>
    <x v="9"/>
    <n v="84"/>
    <n v="84"/>
    <n v="0"/>
    <n v="0"/>
    <e v="#DIV/0!"/>
    <m/>
    <m/>
    <n v="0"/>
  </r>
  <r>
    <m/>
    <n v="69078"/>
    <x v="123"/>
    <x v="0"/>
    <x v="7"/>
    <x v="10"/>
    <n v="14"/>
    <n v="0"/>
    <n v="0"/>
    <n v="14"/>
    <m/>
    <n v="0"/>
    <n v="0"/>
    <n v="0"/>
  </r>
  <r>
    <m/>
    <m/>
    <x v="123"/>
    <x v="0"/>
    <x v="9"/>
    <x v="3"/>
    <n v="504"/>
    <n v="163"/>
    <n v="341"/>
    <n v="0"/>
    <n v="26.894428152492669"/>
    <n v="9171"/>
    <m/>
    <n v="9171"/>
  </r>
  <r>
    <m/>
    <m/>
    <x v="124"/>
    <x v="0"/>
    <x v="9"/>
    <x v="3"/>
    <n v="1026"/>
    <n v="858"/>
    <n v="168"/>
    <n v="0"/>
    <n v="0"/>
    <n v="162"/>
    <n v="215.21"/>
    <n v="-53.210000000000008"/>
  </r>
  <r>
    <m/>
    <m/>
    <x v="124"/>
    <x v="0"/>
    <x v="9"/>
    <x v="9"/>
    <n v="206"/>
    <n v="206"/>
    <m/>
    <n v="0"/>
    <e v="#DIV/0!"/>
    <m/>
    <m/>
    <n v="0"/>
  </r>
  <r>
    <m/>
    <m/>
    <x v="125"/>
    <x v="0"/>
    <x v="9"/>
    <x v="3"/>
    <n v="297"/>
    <n v="297"/>
    <m/>
    <n v="0"/>
    <e v="#DIV/0!"/>
    <m/>
    <m/>
    <n v="0"/>
  </r>
  <r>
    <m/>
    <m/>
    <x v="125"/>
    <x v="0"/>
    <x v="9"/>
    <x v="9"/>
    <n v="14"/>
    <n v="14"/>
    <m/>
    <n v="0"/>
    <e v="#DIV/0!"/>
    <m/>
    <m/>
    <n v="0"/>
  </r>
  <r>
    <m/>
    <n v="69079"/>
    <x v="126"/>
    <x v="0"/>
    <x v="7"/>
    <x v="3"/>
    <n v="514"/>
    <n v="11"/>
    <n v="503"/>
    <n v="0"/>
    <n v="30.139165009940356"/>
    <n v="15160"/>
    <n v="0"/>
    <n v="15160"/>
  </r>
  <r>
    <m/>
    <n v="69079"/>
    <x v="126"/>
    <x v="0"/>
    <x v="7"/>
    <x v="9"/>
    <n v="203"/>
    <n v="5"/>
    <n v="198"/>
    <n v="0"/>
    <n v="30"/>
    <n v="5940"/>
    <n v="0"/>
    <n v="5940"/>
  </r>
  <r>
    <m/>
    <n v="248387"/>
    <x v="126"/>
    <x v="1"/>
    <x v="6"/>
    <x v="8"/>
    <n v="93"/>
    <n v="0"/>
    <n v="93"/>
    <n v="0"/>
    <n v="69.13978494623656"/>
    <n v="6430"/>
    <n v="975.09"/>
    <n v="5454.91"/>
  </r>
  <r>
    <m/>
    <n v="111655"/>
    <x v="127"/>
    <x v="0"/>
    <x v="0"/>
    <x v="3"/>
    <n v="272"/>
    <n v="0"/>
    <n v="272"/>
    <n v="0"/>
    <n v="37.279411764705884"/>
    <n v="10140"/>
    <n v="1480.65"/>
    <n v="8659.35"/>
  </r>
  <r>
    <m/>
    <n v="111657"/>
    <x v="128"/>
    <x v="0"/>
    <x v="0"/>
    <x v="3"/>
    <n v="861"/>
    <n v="0"/>
    <n v="861"/>
    <n v="0"/>
    <n v="20.627177700348433"/>
    <n v="17760"/>
    <n v="2242.5100000000002"/>
    <n v="15517.49"/>
  </r>
  <r>
    <m/>
    <n v="111657"/>
    <x v="128"/>
    <x v="1"/>
    <x v="0"/>
    <x v="8"/>
    <n v="18"/>
    <n v="0"/>
    <n v="18"/>
    <n v="0"/>
    <n v="75.555555555555557"/>
    <n v="1360"/>
    <n v="220.34"/>
    <n v="1139.6600000000001"/>
  </r>
  <r>
    <m/>
    <m/>
    <x v="129"/>
    <x v="0"/>
    <x v="9"/>
    <x v="3"/>
    <n v="198"/>
    <n v="198"/>
    <m/>
    <n v="0"/>
    <e v="#DIV/0!"/>
    <m/>
    <m/>
    <n v="0"/>
  </r>
  <r>
    <m/>
    <m/>
    <x v="129"/>
    <x v="0"/>
    <x v="9"/>
    <x v="10"/>
    <n v="198"/>
    <n v="198"/>
    <m/>
    <n v="0"/>
    <e v="#DIV/0!"/>
    <m/>
    <m/>
    <n v="0"/>
  </r>
  <r>
    <m/>
    <m/>
    <x v="129"/>
    <x v="1"/>
    <x v="6"/>
    <x v="8"/>
    <n v="114"/>
    <n v="114"/>
    <m/>
    <n v="0"/>
    <e v="#DIV/0!"/>
    <m/>
    <m/>
    <n v="0"/>
  </r>
  <r>
    <m/>
    <n v="111658"/>
    <x v="130"/>
    <x v="0"/>
    <x v="0"/>
    <x v="3"/>
    <n v="99"/>
    <n v="0"/>
    <n v="99"/>
    <n v="0"/>
    <n v="30.555555555555557"/>
    <n v="3025"/>
    <n v="434.87"/>
    <n v="2590.13"/>
  </r>
  <r>
    <m/>
    <n v="111661"/>
    <x v="131"/>
    <x v="0"/>
    <x v="0"/>
    <x v="3"/>
    <n v="99"/>
    <n v="0"/>
    <n v="99"/>
    <n v="0"/>
    <n v="26.060606060606062"/>
    <n v="2580"/>
    <n v="370.88"/>
    <n v="2209.12"/>
  </r>
  <r>
    <m/>
    <n v="111661"/>
    <x v="131"/>
    <x v="0"/>
    <x v="0"/>
    <x v="10"/>
    <n v="108"/>
    <n v="0"/>
    <n v="108"/>
    <n v="0"/>
    <n v="5"/>
    <n v="540"/>
    <m/>
    <n v="540"/>
  </r>
  <r>
    <m/>
    <n v="111661"/>
    <x v="131"/>
    <x v="0"/>
    <x v="0"/>
    <x v="9"/>
    <n v="99"/>
    <n v="0"/>
    <n v="99"/>
    <n v="0"/>
    <n v="31.212121212121211"/>
    <n v="3090"/>
    <m/>
    <n v="3090"/>
  </r>
  <r>
    <m/>
    <n v="248390"/>
    <x v="131"/>
    <x v="1"/>
    <x v="6"/>
    <x v="8"/>
    <n v="8"/>
    <n v="0"/>
    <n v="6"/>
    <n v="2"/>
    <n v="75"/>
    <n v="450"/>
    <n v="81.08"/>
    <n v="368.92"/>
  </r>
  <r>
    <m/>
    <m/>
    <x v="132"/>
    <x v="0"/>
    <x v="9"/>
    <x v="3"/>
    <n v="68"/>
    <n v="68"/>
    <m/>
    <n v="0"/>
    <e v="#DIV/0!"/>
    <m/>
    <m/>
    <n v="0"/>
  </r>
  <r>
    <m/>
    <m/>
    <x v="132"/>
    <x v="0"/>
    <x v="9"/>
    <x v="9"/>
    <n v="27"/>
    <n v="27"/>
    <m/>
    <n v="0"/>
    <e v="#DIV/0!"/>
    <m/>
    <m/>
    <n v="0"/>
  </r>
  <r>
    <m/>
    <m/>
    <x v="133"/>
    <x v="1"/>
    <x v="6"/>
    <x v="8"/>
    <n v="22"/>
    <n v="0"/>
    <n v="19"/>
    <n v="3"/>
    <n v="100"/>
    <n v="1900"/>
    <n v="284.5"/>
    <n v="161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59AB4-7D93-4096-8117-640AD2AFE08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8">
  <location ref="A3:E15" firstHeaderRow="0" firstDataRow="1" firstDataCol="1"/>
  <pivotFields count="14">
    <pivotField showAll="0"/>
    <pivotField showAll="0"/>
    <pivotField numFmtId="15" showAll="0">
      <items count="135">
        <item x="0"/>
        <item x="2"/>
        <item x="3"/>
        <item x="4"/>
        <item x="5"/>
        <item x="6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5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showAll="0">
      <items count="4">
        <item m="1" x="2"/>
        <item x="0"/>
        <item x="1"/>
        <item t="default"/>
      </items>
    </pivotField>
    <pivotField showAll="0">
      <items count="13">
        <item h="1" x="1"/>
        <item x="6"/>
        <item h="1" x="7"/>
        <item h="1" x="9"/>
        <item h="1" x="5"/>
        <item h="1" x="4"/>
        <item h="1" x="3"/>
        <item h="1" m="1" x="11"/>
        <item h="1" x="8"/>
        <item h="1" x="2"/>
        <item h="1" m="1" x="10"/>
        <item h="1" x="0"/>
        <item t="default"/>
      </items>
    </pivotField>
    <pivotField axis="axisRow" showAll="0" sortType="descending">
      <items count="12">
        <item x="8"/>
        <item x="1"/>
        <item x="6"/>
        <item x="4"/>
        <item x="2"/>
        <item x="3"/>
        <item x="7"/>
        <item x="10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numFmtId="44" showAll="0"/>
  </pivotFields>
  <rowFields count="1">
    <field x="5"/>
  </rowFields>
  <rowItems count="12">
    <i>
      <x v="5"/>
    </i>
    <i>
      <x v="2"/>
    </i>
    <i>
      <x v="1"/>
    </i>
    <i>
      <x v="3"/>
    </i>
    <i>
      <x v="6"/>
    </i>
    <i>
      <x/>
    </i>
    <i>
      <x v="8"/>
    </i>
    <i>
      <x v="4"/>
    </i>
    <i>
      <x v="9"/>
    </i>
    <i>
      <x v="7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y Delivered" fld="6" baseField="0" baseItem="0"/>
    <dataField name="Sum of Qty Sold" fld="8" baseField="0" baseItem="0"/>
    <dataField name="Sum of Qty Unsold" fld="7" baseField="0" baseItem="0"/>
    <dataField name="Sum of Qty Destroyed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C6180-CF1D-4BA9-8C8C-9C2CBC8B221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2">
  <location ref="A3:E7" firstHeaderRow="0" firstDataRow="1" firstDataCol="1"/>
  <pivotFields count="14">
    <pivotField showAll="0"/>
    <pivotField showAll="0"/>
    <pivotField numFmtId="15" showAll="0">
      <items count="135">
        <item x="0"/>
        <item x="2"/>
        <item x="3"/>
        <item x="4"/>
        <item x="5"/>
        <item x="6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5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showAll="0"/>
    <pivotField axis="axisRow" showAll="0" sortType="descending">
      <items count="13">
        <item h="1" x="1"/>
        <item x="6"/>
        <item h="1" x="7"/>
        <item h="1" x="5"/>
        <item h="1" x="4"/>
        <item h="1" x="3"/>
        <item h="1" m="1" x="11"/>
        <item h="1" x="8"/>
        <item h="1" m="1" x="10"/>
        <item h="1" x="9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12">
        <item x="8"/>
        <item x="1"/>
        <item x="6"/>
        <item x="4"/>
        <item x="2"/>
        <item x="3"/>
        <item x="7"/>
        <item x="10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numFmtId="44" showAll="0"/>
  </pivotFields>
  <rowFields count="2">
    <field x="4"/>
    <field x="5"/>
  </rowFields>
  <rowItems count="4">
    <i>
      <x v="1"/>
    </i>
    <i r="1">
      <x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y Delivered" fld="6" baseField="0" baseItem="0"/>
    <dataField name="Sum of Qty Sold" fld="8" baseField="0" baseItem="0"/>
    <dataField name="Sum of Qty Unsold" fld="7" baseField="0" baseItem="0"/>
    <dataField name="Sum of Qty Destroyed" fld="9" baseField="0" baseItem="0"/>
  </dataFields>
  <chartFormats count="8"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D3A92-ACBE-4821-8629-4300503B4A5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0">
  <location ref="A3:G15" firstHeaderRow="0" firstDataRow="1" firstDataCol="1"/>
  <pivotFields count="14">
    <pivotField showAll="0"/>
    <pivotField showAll="0"/>
    <pivotField numFmtId="15" showAll="0">
      <items count="135">
        <item x="0"/>
        <item x="2"/>
        <item x="3"/>
        <item x="4"/>
        <item x="5"/>
        <item x="6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5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showAll="0"/>
    <pivotField showAll="0">
      <items count="13">
        <item h="1" x="1"/>
        <item x="6"/>
        <item h="1" x="7"/>
        <item h="1" x="9"/>
        <item h="1" x="5"/>
        <item h="1" x="4"/>
        <item h="1" x="3"/>
        <item h="1" m="1" x="11"/>
        <item h="1" x="8"/>
        <item h="1" x="2"/>
        <item h="1" m="1" x="10"/>
        <item h="1" x="0"/>
        <item t="default"/>
      </items>
    </pivotField>
    <pivotField axis="axisRow" showAll="0" sortType="descending">
      <items count="12">
        <item x="8"/>
        <item x="1"/>
        <item x="6"/>
        <item x="4"/>
        <item x="2"/>
        <item x="3"/>
        <item x="7"/>
        <item x="10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numFmtId="44" showAll="0"/>
  </pivotFields>
  <rowFields count="1">
    <field x="5"/>
  </rowFields>
  <rowItems count="12">
    <i>
      <x v="5"/>
    </i>
    <i>
      <x v="2"/>
    </i>
    <i>
      <x v="1"/>
    </i>
    <i>
      <x v="3"/>
    </i>
    <i>
      <x v="6"/>
    </i>
    <i>
      <x/>
    </i>
    <i>
      <x v="8"/>
    </i>
    <i>
      <x v="4"/>
    </i>
    <i>
      <x v="9"/>
    </i>
    <i>
      <x v="7"/>
    </i>
    <i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Qty Delivered" fld="6" baseField="0" baseItem="0"/>
    <dataField name="Sum of Qty Sold" fld="8" baseField="0" baseItem="0"/>
    <dataField name="Sum of Qty Unsold" fld="7" baseField="0" baseItem="0"/>
    <dataField name="Sum of Qty Destroyed" fld="9" baseField="0" baseItem="0"/>
    <dataField name="Sum of Gross" fld="11" baseField="0" baseItem="0"/>
    <dataField name="Average of Gross Profit" fld="13" subtotal="average" baseField="5" baseItem="5"/>
  </dataFields>
  <chartFormats count="20"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9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E2144-92CD-44E5-9E6C-B9A83F96686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8">
  <location ref="A3:B5" firstHeaderRow="1" firstDataRow="1" firstDataCol="1"/>
  <pivotFields count="14">
    <pivotField showAll="0"/>
    <pivotField showAll="0"/>
    <pivotField numFmtId="15" showAll="0">
      <items count="135">
        <item x="0"/>
        <item x="2"/>
        <item x="3"/>
        <item x="4"/>
        <item x="5"/>
        <item x="6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5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showAll="0"/>
    <pivotField axis="axisRow" showAll="0" sortType="descending">
      <items count="13">
        <item h="1" x="1"/>
        <item x="6"/>
        <item h="1" x="7"/>
        <item h="1" x="5"/>
        <item h="1" x="4"/>
        <item h="1" x="3"/>
        <item h="1" m="1" x="11"/>
        <item h="1" x="8"/>
        <item h="1" m="1" x="10"/>
        <item h="1" x="9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8"/>
        <item x="1"/>
        <item x="6"/>
        <item x="4"/>
        <item x="2"/>
        <item x="3"/>
        <item x="7"/>
        <item x="10"/>
        <item x="5"/>
        <item x="0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44" showAll="0"/>
  </pivotFields>
  <rowFields count="1">
    <field x="4"/>
  </rowFields>
  <rowItems count="2">
    <i>
      <x v="1"/>
    </i>
    <i t="grand">
      <x/>
    </i>
  </rowItems>
  <colItems count="1">
    <i/>
  </colItems>
  <dataFields count="1">
    <dataField name="Sum of Gross" fld="11" baseField="0" baseItem="0"/>
  </dataFields>
  <formats count="2">
    <format dxfId="34">
      <pivotArea grandRow="1" outline="0" collapsedLevelsAreSubtotals="1" fieldPosition="0"/>
    </format>
    <format dxfId="33">
      <pivotArea collapsedLevelsAreSubtotals="1" fieldPosition="0">
        <references count="1">
          <reference field="4" count="4">
            <x v="2"/>
            <x v="3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4765E-99A7-4823-B6D0-FC9E60D7718D}" name="Data" displayName="Data" ref="A1:J295" totalsRowShown="0" headerRowDxfId="32" dataDxfId="30" totalsRowDxfId="28" headerRowBorderDxfId="31" tableBorderDxfId="29">
  <autoFilter ref="A1:J295" xr:uid="{07F96D20-9A04-48D2-B82D-DBA4DB4FC348}"/>
  <tableColumns count="10">
    <tableColumn id="2" xr3:uid="{657E57C3-D10F-49A7-916A-D33A7FEAFEEF}" name="Date" dataDxfId="27" totalsRowDxfId="26"/>
    <tableColumn id="3" xr3:uid="{CC717696-D5DD-4D1E-9A03-23F6D4F6B490}" name="Farm" dataDxfId="25" totalsRowDxfId="24"/>
    <tableColumn id="4" xr3:uid="{85DB0359-0196-47AA-94AD-1D6496CB9DEC}" name="Agent" dataDxfId="23" totalsRowDxfId="22"/>
    <tableColumn id="5" xr3:uid="{48C9209F-943C-43DE-A612-77C7B8A67256}" name="Produce" dataDxfId="21" totalsRowDxfId="20"/>
    <tableColumn id="6" xr3:uid="{78ED093B-99C4-4A8F-9BBD-9E8BC505DF8D}" name="Qty Delivered" dataDxfId="19" totalsRowDxfId="18"/>
    <tableColumn id="7" xr3:uid="{3F232701-65ED-4CBB-97E5-A5E3D813B425}" name="Qty Sold" dataDxfId="17" totalsRowDxfId="16"/>
    <tableColumn id="8" xr3:uid="{4F36C4EE-0106-4B4C-B2BA-22DE89DE58C9}" name="Qty Dischard" dataDxfId="15" totalsRowDxfId="14">
      <calculatedColumnFormula>Data[[#This Row],[Qty Delivered]]-Data[[#This Row],[Qty Sold]]</calculatedColumnFormula>
    </tableColumn>
    <tableColumn id="9" xr3:uid="{DC2A7EC2-1104-4BAF-897B-98683D151C28}" name="Gross" dataDxfId="13" totalsRowDxfId="12"/>
    <tableColumn id="10" xr3:uid="{ACA8B090-4292-4FF7-8A6B-019A6E65E525}" name="Deduction" dataDxfId="11" totalsRowDxfId="10">
      <calculatedColumnFormula>(Data[[#This Row],[Gross]]*13%)+(Data[[#This Row],[Gross]]*13%)*15%+23</calculatedColumnFormula>
    </tableColumn>
    <tableColumn id="11" xr3:uid="{31D835F2-71B4-4B62-9D48-E5B381326319}" name="Gross Profit" dataDxfId="9" totalsRowDxfId="8">
      <calculatedColumnFormula>Data[[#This Row],[Gross]]-Data[[#This Row],[Deduction]]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DBECD-1936-4562-A301-1F26DA612189}" name="Table2" displayName="Table2" ref="B4:E11" totalsRowCount="1" headerRowDxfId="7">
  <autoFilter ref="B4:E10" xr:uid="{FC8EB0E6-83BA-4BCB-8869-98F0E9ABFBAF}"/>
  <tableColumns count="4">
    <tableColumn id="1" xr3:uid="{078A6229-06AF-4764-A0C2-1F646D4FC336}" name="Date" dataDxfId="6" totalsRowDxfId="5"/>
    <tableColumn id="2" xr3:uid="{038ABAEE-1F69-4BC5-AF58-97F3003CE163}" name="Agent " dataDxfId="4" totalsRowDxfId="3"/>
    <tableColumn id="3" xr3:uid="{8BE6267A-3008-43A4-B900-4D50688B58C9}" name="Payment" totalsRowFunction="sum" dataDxfId="2" totalsRowDxfId="1"/>
    <tableColumn id="4" xr3:uid="{A73CDB14-735B-4DAC-876C-B0F5FE512727}" name="Rece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4" dT="2020-08-26T12:04:34.18" personId="{C5646207-D7FF-45CD-A280-8D11395B9669}" id="{E5D4E3E0-6215-4F64-9399-3E5AA9E0FE31}">
    <text>bunch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xcufruit@cybertrade.co.za%20/" TargetMode="External"/><Relationship Id="rId2" Type="http://schemas.openxmlformats.org/officeDocument/2006/relationships/hyperlink" Target="mailto:admin@egoly.co.za" TargetMode="External"/><Relationship Id="rId1" Type="http://schemas.openxmlformats.org/officeDocument/2006/relationships/hyperlink" Target="mailto:admin@dapper.co.za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Roy@rsa.co.z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CD3C-04B9-4477-8472-6E97E09E5801}">
  <dimension ref="A3:E15"/>
  <sheetViews>
    <sheetView workbookViewId="0">
      <selection activeCell="B7" sqref="B7"/>
    </sheetView>
  </sheetViews>
  <sheetFormatPr defaultRowHeight="14.5"/>
  <cols>
    <col min="1" max="1" width="13.36328125" bestFit="1" customWidth="1"/>
    <col min="2" max="2" width="19.1796875" bestFit="1" customWidth="1"/>
    <col min="3" max="3" width="14.453125" bestFit="1" customWidth="1"/>
    <col min="4" max="4" width="16.90625" bestFit="1" customWidth="1"/>
    <col min="5" max="5" width="19.6328125" bestFit="1" customWidth="1"/>
    <col min="6" max="6" width="12.54296875" bestFit="1" customWidth="1"/>
  </cols>
  <sheetData>
    <row r="3" spans="1:5">
      <c r="A3" s="119" t="s">
        <v>65</v>
      </c>
      <c r="B3" t="s">
        <v>67</v>
      </c>
      <c r="C3" t="s">
        <v>68</v>
      </c>
      <c r="D3" t="s">
        <v>69</v>
      </c>
      <c r="E3" t="s">
        <v>70</v>
      </c>
    </row>
    <row r="4" spans="1:5">
      <c r="A4" s="113" t="s">
        <v>10</v>
      </c>
      <c r="B4">
        <v>25615</v>
      </c>
      <c r="C4">
        <v>21279</v>
      </c>
      <c r="D4">
        <v>3658</v>
      </c>
      <c r="E4">
        <v>678</v>
      </c>
    </row>
    <row r="5" spans="1:5">
      <c r="A5" s="113" t="s">
        <v>34</v>
      </c>
      <c r="B5">
        <v>8976</v>
      </c>
      <c r="C5">
        <v>8250</v>
      </c>
      <c r="D5">
        <v>22</v>
      </c>
      <c r="E5">
        <v>704</v>
      </c>
    </row>
    <row r="6" spans="1:5">
      <c r="A6" s="113" t="s">
        <v>29</v>
      </c>
      <c r="B6">
        <v>8531</v>
      </c>
      <c r="C6">
        <v>7815</v>
      </c>
      <c r="D6">
        <v>0</v>
      </c>
      <c r="E6">
        <v>716</v>
      </c>
    </row>
    <row r="7" spans="1:5">
      <c r="A7" s="113" t="s">
        <v>30</v>
      </c>
      <c r="B7">
        <v>6348</v>
      </c>
      <c r="C7">
        <v>5429</v>
      </c>
      <c r="D7">
        <v>0</v>
      </c>
      <c r="E7">
        <v>919</v>
      </c>
    </row>
    <row r="8" spans="1:5">
      <c r="A8" s="113" t="s">
        <v>35</v>
      </c>
      <c r="B8">
        <v>2140</v>
      </c>
      <c r="C8">
        <v>1788</v>
      </c>
      <c r="D8">
        <v>0</v>
      </c>
      <c r="E8">
        <v>352</v>
      </c>
    </row>
    <row r="9" spans="1:5">
      <c r="A9" s="113" t="s">
        <v>19</v>
      </c>
      <c r="B9">
        <v>1655</v>
      </c>
      <c r="C9">
        <v>1155</v>
      </c>
      <c r="D9">
        <v>405</v>
      </c>
      <c r="E9">
        <v>95</v>
      </c>
    </row>
    <row r="10" spans="1:5">
      <c r="A10" s="113" t="s">
        <v>31</v>
      </c>
      <c r="B10">
        <v>3945</v>
      </c>
      <c r="C10">
        <v>960</v>
      </c>
      <c r="D10">
        <v>2</v>
      </c>
      <c r="E10">
        <v>2983</v>
      </c>
    </row>
    <row r="11" spans="1:5">
      <c r="A11" s="113" t="s">
        <v>32</v>
      </c>
      <c r="B11">
        <v>642</v>
      </c>
      <c r="C11">
        <v>617</v>
      </c>
      <c r="D11">
        <v>0</v>
      </c>
      <c r="E11">
        <v>25</v>
      </c>
    </row>
    <row r="12" spans="1:5">
      <c r="A12" s="113" t="s">
        <v>17</v>
      </c>
      <c r="B12">
        <v>770</v>
      </c>
      <c r="C12">
        <v>331</v>
      </c>
      <c r="D12">
        <v>390</v>
      </c>
      <c r="E12">
        <v>49</v>
      </c>
    </row>
    <row r="13" spans="1:5">
      <c r="A13" s="113" t="s">
        <v>18</v>
      </c>
      <c r="B13">
        <v>724</v>
      </c>
      <c r="C13">
        <v>169</v>
      </c>
      <c r="D13">
        <v>541</v>
      </c>
      <c r="E13">
        <v>14</v>
      </c>
    </row>
    <row r="14" spans="1:5">
      <c r="A14" s="113" t="s">
        <v>109</v>
      </c>
      <c r="B14">
        <v>24</v>
      </c>
      <c r="C14">
        <v>24</v>
      </c>
      <c r="D14">
        <v>0</v>
      </c>
      <c r="E14">
        <v>0</v>
      </c>
    </row>
    <row r="15" spans="1:5">
      <c r="A15" s="113" t="s">
        <v>66</v>
      </c>
      <c r="B15">
        <v>59370</v>
      </c>
      <c r="C15">
        <v>47817</v>
      </c>
      <c r="D15">
        <v>5018</v>
      </c>
      <c r="E15">
        <v>6535</v>
      </c>
    </row>
  </sheetData>
  <sortState xmlns:xlrd2="http://schemas.microsoft.com/office/spreadsheetml/2017/richdata2" ref="A3:E14">
    <sortCondition descending="1"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59E-5E92-41B1-AD7F-7DFD3BA15637}">
  <dimension ref="A3:E7"/>
  <sheetViews>
    <sheetView workbookViewId="0">
      <selection activeCell="B9" sqref="B9"/>
    </sheetView>
  </sheetViews>
  <sheetFormatPr defaultRowHeight="14.5"/>
  <cols>
    <col min="1" max="1" width="16.453125" bestFit="1" customWidth="1"/>
    <col min="2" max="2" width="19.1796875" bestFit="1" customWidth="1"/>
    <col min="3" max="3" width="14.453125" bestFit="1" customWidth="1"/>
    <col min="4" max="4" width="16.90625" bestFit="1" customWidth="1"/>
    <col min="5" max="5" width="19.6328125" bestFit="1" customWidth="1"/>
    <col min="6" max="6" width="12.54296875" bestFit="1" customWidth="1"/>
  </cols>
  <sheetData>
    <row r="3" spans="1:5">
      <c r="A3" s="119" t="s">
        <v>65</v>
      </c>
      <c r="B3" t="s">
        <v>67</v>
      </c>
      <c r="C3" t="s">
        <v>68</v>
      </c>
      <c r="D3" t="s">
        <v>69</v>
      </c>
      <c r="E3" t="s">
        <v>70</v>
      </c>
    </row>
    <row r="4" spans="1:5">
      <c r="A4" s="113" t="s">
        <v>39</v>
      </c>
      <c r="B4">
        <v>1441</v>
      </c>
      <c r="C4">
        <v>1232</v>
      </c>
      <c r="D4">
        <v>114</v>
      </c>
      <c r="E4">
        <v>95</v>
      </c>
    </row>
    <row r="5" spans="1:5">
      <c r="A5" s="120" t="s">
        <v>19</v>
      </c>
      <c r="B5">
        <v>1086</v>
      </c>
      <c r="C5">
        <v>914</v>
      </c>
      <c r="D5">
        <v>114</v>
      </c>
      <c r="E5">
        <v>58</v>
      </c>
    </row>
    <row r="6" spans="1:5">
      <c r="A6" s="120" t="s">
        <v>34</v>
      </c>
      <c r="B6">
        <v>355</v>
      </c>
      <c r="C6">
        <v>318</v>
      </c>
      <c r="D6">
        <v>0</v>
      </c>
      <c r="E6">
        <v>37</v>
      </c>
    </row>
    <row r="7" spans="1:5">
      <c r="A7" s="113" t="s">
        <v>66</v>
      </c>
      <c r="B7">
        <v>1441</v>
      </c>
      <c r="C7">
        <v>1232</v>
      </c>
      <c r="D7">
        <v>114</v>
      </c>
      <c r="E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FB12-5408-478D-BD60-D9957CBCC7CD}">
  <dimension ref="A3:G15"/>
  <sheetViews>
    <sheetView workbookViewId="0">
      <selection activeCell="A4" sqref="A4:XFD4"/>
    </sheetView>
  </sheetViews>
  <sheetFormatPr defaultRowHeight="14.5"/>
  <cols>
    <col min="1" max="1" width="12.6328125" bestFit="1" customWidth="1"/>
    <col min="2" max="2" width="18.6328125" bestFit="1" customWidth="1"/>
    <col min="3" max="3" width="14.1796875" bestFit="1" customWidth="1"/>
    <col min="4" max="4" width="16.453125" bestFit="1" customWidth="1"/>
    <col min="5" max="5" width="19.36328125" bestFit="1" customWidth="1"/>
    <col min="6" max="6" width="11.81640625" bestFit="1" customWidth="1"/>
    <col min="7" max="7" width="20.26953125" bestFit="1" customWidth="1"/>
  </cols>
  <sheetData>
    <row r="3" spans="1:7">
      <c r="A3" s="119" t="s">
        <v>65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129</v>
      </c>
    </row>
    <row r="4" spans="1:7">
      <c r="A4" s="113" t="s">
        <v>10</v>
      </c>
      <c r="B4" s="174">
        <v>25615</v>
      </c>
      <c r="C4" s="174">
        <v>21279</v>
      </c>
      <c r="D4" s="174">
        <v>3658</v>
      </c>
      <c r="E4" s="174">
        <v>678</v>
      </c>
      <c r="F4" s="174">
        <v>694236.99</v>
      </c>
      <c r="G4" s="174">
        <v>8102.4987179487171</v>
      </c>
    </row>
    <row r="5" spans="1:7">
      <c r="A5" s="113" t="s">
        <v>34</v>
      </c>
      <c r="B5" s="174">
        <v>8976</v>
      </c>
      <c r="C5" s="174">
        <v>8250</v>
      </c>
      <c r="D5" s="174">
        <v>22</v>
      </c>
      <c r="E5" s="174">
        <v>704</v>
      </c>
      <c r="F5" s="174">
        <v>471584.65</v>
      </c>
      <c r="G5" s="174">
        <v>7984.3690000000024</v>
      </c>
    </row>
    <row r="6" spans="1:7">
      <c r="A6" s="113" t="s">
        <v>29</v>
      </c>
      <c r="B6" s="174">
        <v>8531</v>
      </c>
      <c r="C6" s="174">
        <v>7815</v>
      </c>
      <c r="D6" s="174">
        <v>0</v>
      </c>
      <c r="E6" s="174">
        <v>716</v>
      </c>
      <c r="F6" s="174">
        <v>209613</v>
      </c>
      <c r="G6" s="174">
        <v>4131.0280000000002</v>
      </c>
    </row>
    <row r="7" spans="1:7">
      <c r="A7" s="113" t="s">
        <v>30</v>
      </c>
      <c r="B7" s="174">
        <v>6348</v>
      </c>
      <c r="C7" s="174">
        <v>5429</v>
      </c>
      <c r="D7" s="174">
        <v>0</v>
      </c>
      <c r="E7" s="174">
        <v>919</v>
      </c>
      <c r="F7" s="174">
        <v>141832.5</v>
      </c>
      <c r="G7" s="174">
        <v>4167.057647058823</v>
      </c>
    </row>
    <row r="8" spans="1:7">
      <c r="A8" s="113" t="s">
        <v>35</v>
      </c>
      <c r="B8" s="174">
        <v>2140</v>
      </c>
      <c r="C8" s="174">
        <v>1788</v>
      </c>
      <c r="D8" s="174">
        <v>0</v>
      </c>
      <c r="E8" s="174">
        <v>352</v>
      </c>
      <c r="F8" s="174">
        <v>7194</v>
      </c>
      <c r="G8" s="174">
        <v>2105.4566666666665</v>
      </c>
    </row>
    <row r="9" spans="1:7">
      <c r="A9" s="113" t="s">
        <v>19</v>
      </c>
      <c r="B9" s="174">
        <v>1655</v>
      </c>
      <c r="C9" s="174">
        <v>1155</v>
      </c>
      <c r="D9" s="174">
        <v>405</v>
      </c>
      <c r="E9" s="174">
        <v>95</v>
      </c>
      <c r="F9" s="174">
        <v>58596</v>
      </c>
      <c r="G9" s="174">
        <v>2379.7157142857141</v>
      </c>
    </row>
    <row r="10" spans="1:7">
      <c r="A10" s="113" t="s">
        <v>31</v>
      </c>
      <c r="B10" s="174">
        <v>3945</v>
      </c>
      <c r="C10" s="174">
        <v>960</v>
      </c>
      <c r="D10" s="174">
        <v>2</v>
      </c>
      <c r="E10" s="174">
        <v>2983</v>
      </c>
      <c r="F10" s="174">
        <v>5372</v>
      </c>
      <c r="G10" s="174">
        <v>554.89625000000001</v>
      </c>
    </row>
    <row r="11" spans="1:7">
      <c r="A11" s="113" t="s">
        <v>32</v>
      </c>
      <c r="B11" s="174">
        <v>642</v>
      </c>
      <c r="C11" s="174">
        <v>617</v>
      </c>
      <c r="D11" s="174">
        <v>0</v>
      </c>
      <c r="E11" s="174">
        <v>25</v>
      </c>
      <c r="F11" s="174">
        <v>21723.5</v>
      </c>
      <c r="G11" s="174">
        <v>6252.8366666666661</v>
      </c>
    </row>
    <row r="12" spans="1:7">
      <c r="A12" s="113" t="s">
        <v>17</v>
      </c>
      <c r="B12" s="174">
        <v>770</v>
      </c>
      <c r="C12" s="174">
        <v>331</v>
      </c>
      <c r="D12" s="174">
        <v>390</v>
      </c>
      <c r="E12" s="174">
        <v>49</v>
      </c>
      <c r="F12" s="174">
        <v>9685</v>
      </c>
      <c r="G12" s="174">
        <v>1198.4737500000001</v>
      </c>
    </row>
    <row r="13" spans="1:7">
      <c r="A13" s="113" t="s">
        <v>18</v>
      </c>
      <c r="B13" s="174">
        <v>724</v>
      </c>
      <c r="C13" s="174">
        <v>169</v>
      </c>
      <c r="D13" s="174">
        <v>541</v>
      </c>
      <c r="E13" s="174">
        <v>14</v>
      </c>
      <c r="F13" s="174">
        <v>2085</v>
      </c>
      <c r="G13" s="174">
        <v>262.62857142857143</v>
      </c>
    </row>
    <row r="14" spans="1:7">
      <c r="A14" s="113" t="s">
        <v>109</v>
      </c>
      <c r="B14" s="174">
        <v>24</v>
      </c>
      <c r="C14" s="174">
        <v>24</v>
      </c>
      <c r="D14" s="174">
        <v>0</v>
      </c>
      <c r="E14" s="174">
        <v>0</v>
      </c>
      <c r="F14" s="174">
        <v>1580</v>
      </c>
      <c r="G14" s="174">
        <v>1580</v>
      </c>
    </row>
    <row r="15" spans="1:7">
      <c r="A15" s="113" t="s">
        <v>66</v>
      </c>
      <c r="B15" s="174">
        <v>59370</v>
      </c>
      <c r="C15" s="174">
        <v>47817</v>
      </c>
      <c r="D15" s="174">
        <v>5018</v>
      </c>
      <c r="E15" s="174">
        <v>6535</v>
      </c>
      <c r="F15" s="174">
        <v>1623502.6400000001</v>
      </c>
      <c r="G15" s="174">
        <v>5596.7261596958197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9A80-6545-4B34-959E-A469FE24B78E}">
  <dimension ref="A3:B5"/>
  <sheetViews>
    <sheetView workbookViewId="0">
      <selection activeCell="A5" sqref="A5"/>
    </sheetView>
  </sheetViews>
  <sheetFormatPr defaultRowHeight="14.5"/>
  <cols>
    <col min="1" max="1" width="12.6328125" bestFit="1" customWidth="1"/>
    <col min="2" max="2" width="12" bestFit="1" customWidth="1"/>
    <col min="3" max="4" width="12.54296875" bestFit="1" customWidth="1"/>
    <col min="5" max="7" width="15.54296875" bestFit="1" customWidth="1"/>
  </cols>
  <sheetData>
    <row r="3" spans="1:2">
      <c r="A3" s="119" t="s">
        <v>65</v>
      </c>
      <c r="B3" t="s">
        <v>71</v>
      </c>
    </row>
    <row r="4" spans="1:2">
      <c r="A4" s="113" t="s">
        <v>39</v>
      </c>
      <c r="B4">
        <v>73737</v>
      </c>
    </row>
    <row r="5" spans="1:2">
      <c r="A5" s="113" t="s">
        <v>66</v>
      </c>
      <c r="B5" s="121">
        <v>73737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69CF-C9A4-4FE6-872D-03A1C690CC9F}">
  <dimension ref="A1:W295"/>
  <sheetViews>
    <sheetView showGridLines="0" tabSelected="1" zoomScaleNormal="100" zoomScaleSheetLayoutView="100" workbookViewId="0">
      <selection activeCell="J201" sqref="J201:J263"/>
    </sheetView>
  </sheetViews>
  <sheetFormatPr defaultColWidth="9.1796875" defaultRowHeight="15.5"/>
  <cols>
    <col min="1" max="1" width="10.453125" style="66" bestFit="1" customWidth="1"/>
    <col min="2" max="2" width="7.90625" style="66" bestFit="1" customWidth="1"/>
    <col min="3" max="3" width="11" style="131" bestFit="1" customWidth="1"/>
    <col min="4" max="4" width="13.7265625" style="131" bestFit="1" customWidth="1"/>
    <col min="5" max="5" width="16.1796875" style="61" bestFit="1" customWidth="1"/>
    <col min="6" max="6" width="11.26953125" style="131" bestFit="1" customWidth="1"/>
    <col min="7" max="7" width="15.36328125" style="131" bestFit="1" customWidth="1"/>
    <col min="8" max="8" width="12.26953125" style="130" bestFit="1" customWidth="1"/>
    <col min="9" max="9" width="13.453125" style="130" bestFit="1" customWidth="1"/>
    <col min="10" max="10" width="14.81640625" style="130" bestFit="1" customWidth="1"/>
    <col min="11" max="11" width="12.08984375" style="131" customWidth="1"/>
    <col min="12" max="13" width="12.1796875" style="131" bestFit="1" customWidth="1"/>
    <col min="14" max="14" width="11.453125" style="131" bestFit="1" customWidth="1"/>
    <col min="15" max="15" width="8.453125" style="131" bestFit="1" customWidth="1"/>
    <col min="16" max="16" width="4.1796875" style="131" bestFit="1" customWidth="1"/>
    <col min="17" max="17" width="2.1796875" style="131" bestFit="1" customWidth="1"/>
    <col min="18" max="19" width="4.1796875" style="131" bestFit="1" customWidth="1"/>
    <col min="20" max="20" width="8.1796875" style="131" bestFit="1" customWidth="1"/>
    <col min="21" max="23" width="10.7265625" style="131" bestFit="1" customWidth="1"/>
    <col min="24" max="16384" width="9.1796875" style="131"/>
  </cols>
  <sheetData>
    <row r="1" spans="1:13">
      <c r="A1" s="163" t="s">
        <v>6</v>
      </c>
      <c r="B1" s="163" t="s">
        <v>52</v>
      </c>
      <c r="C1" s="164" t="s">
        <v>0</v>
      </c>
      <c r="D1" s="162" t="s">
        <v>1</v>
      </c>
      <c r="E1" s="162" t="s">
        <v>2</v>
      </c>
      <c r="F1" s="162" t="s">
        <v>3</v>
      </c>
      <c r="G1" s="162" t="s">
        <v>20</v>
      </c>
      <c r="H1" s="165" t="s">
        <v>4</v>
      </c>
      <c r="I1" s="165" t="s">
        <v>5</v>
      </c>
      <c r="J1" s="165" t="s">
        <v>12</v>
      </c>
    </row>
    <row r="2" spans="1:13">
      <c r="A2" s="95">
        <v>43832</v>
      </c>
      <c r="B2" s="66" t="s">
        <v>53</v>
      </c>
      <c r="C2" s="131" t="s">
        <v>108</v>
      </c>
      <c r="D2" s="161" t="s">
        <v>32</v>
      </c>
      <c r="E2" s="61">
        <v>260</v>
      </c>
      <c r="F2" s="61">
        <v>260</v>
      </c>
      <c r="G2" s="61">
        <f>Data[[#This Row],[Qty Delivered]]-Data[[#This Row],[Qty Sold]]</f>
        <v>0</v>
      </c>
      <c r="H2" s="132">
        <v>3638.5</v>
      </c>
      <c r="I2" s="130">
        <f>(Data[[#This Row],[Gross]]*13%)+(Data[[#This Row],[Gross]]*13%)*15%+23</f>
        <v>566.95574999999997</v>
      </c>
      <c r="J2" s="129">
        <f>Data[[#This Row],[Gross]]-Data[[#This Row],[Deduction]]</f>
        <v>3071.5442499999999</v>
      </c>
    </row>
    <row r="3" spans="1:13">
      <c r="A3" s="95">
        <v>43832</v>
      </c>
      <c r="B3" s="66" t="s">
        <v>53</v>
      </c>
      <c r="C3" s="131" t="s">
        <v>108</v>
      </c>
      <c r="D3" s="161" t="s">
        <v>29</v>
      </c>
      <c r="E3" s="61">
        <v>268</v>
      </c>
      <c r="F3" s="61">
        <v>268</v>
      </c>
      <c r="G3" s="61">
        <f>Data[[#This Row],[Qty Delivered]]-Data[[#This Row],[Qty Sold]]</f>
        <v>0</v>
      </c>
      <c r="H3" s="132">
        <v>3638.5</v>
      </c>
      <c r="I3" s="130">
        <f>(Data[[#This Row],[Gross]]*13%)+(Data[[#This Row],[Gross]]*13%)*15%+23</f>
        <v>566.95574999999997</v>
      </c>
      <c r="J3" s="129">
        <f>Data[[#This Row],[Gross]]-Data[[#This Row],[Deduction]]</f>
        <v>3071.5442499999999</v>
      </c>
      <c r="L3" s="130"/>
      <c r="M3" s="130"/>
    </row>
    <row r="4" spans="1:13">
      <c r="A4" s="95">
        <v>43836</v>
      </c>
      <c r="B4" s="66" t="s">
        <v>53</v>
      </c>
      <c r="C4" s="131" t="s">
        <v>108</v>
      </c>
      <c r="D4" s="161" t="s">
        <v>10</v>
      </c>
      <c r="E4" s="61">
        <v>211</v>
      </c>
      <c r="F4" s="61">
        <v>211</v>
      </c>
      <c r="G4" s="61">
        <f>Data[[#This Row],[Qty Delivered]]-Data[[#This Row],[Qty Sold]]</f>
        <v>0</v>
      </c>
      <c r="H4" s="132">
        <v>8750</v>
      </c>
      <c r="I4" s="130">
        <f>(Data[[#This Row],[Gross]]*13%)+(Data[[#This Row],[Gross]]*13%)*15%+23</f>
        <v>1331.125</v>
      </c>
      <c r="J4" s="129">
        <f>Data[[#This Row],[Gross]]-Data[[#This Row],[Deduction]]</f>
        <v>7418.875</v>
      </c>
    </row>
    <row r="5" spans="1:13">
      <c r="A5" s="95">
        <v>43838</v>
      </c>
      <c r="B5" s="66" t="s">
        <v>53</v>
      </c>
      <c r="C5" s="131" t="s">
        <v>108</v>
      </c>
      <c r="D5" s="161" t="s">
        <v>29</v>
      </c>
      <c r="E5" s="61">
        <v>250</v>
      </c>
      <c r="F5" s="61">
        <v>250</v>
      </c>
      <c r="G5" s="61">
        <f>Data[[#This Row],[Qty Delivered]]-Data[[#This Row],[Qty Sold]]</f>
        <v>0</v>
      </c>
      <c r="H5" s="130">
        <v>10700</v>
      </c>
      <c r="I5" s="130">
        <f>(Data[[#This Row],[Gross]]*13%)+(Data[[#This Row],[Gross]]*13%)*15%+23</f>
        <v>1622.65</v>
      </c>
      <c r="J5" s="129">
        <f>Data[[#This Row],[Gross]]-Data[[#This Row],[Deduction]]</f>
        <v>9077.35</v>
      </c>
    </row>
    <row r="6" spans="1:13">
      <c r="A6" s="95">
        <v>43843</v>
      </c>
      <c r="B6" s="66" t="s">
        <v>53</v>
      </c>
      <c r="C6" s="131" t="s">
        <v>108</v>
      </c>
      <c r="D6" s="161" t="s">
        <v>29</v>
      </c>
      <c r="E6" s="61">
        <v>230</v>
      </c>
      <c r="F6" s="61">
        <v>230</v>
      </c>
      <c r="G6" s="61">
        <f>Data[[#This Row],[Qty Delivered]]-Data[[#This Row],[Qty Sold]]</f>
        <v>0</v>
      </c>
      <c r="H6" s="132">
        <v>2867</v>
      </c>
      <c r="I6" s="130">
        <f>(Data[[#This Row],[Gross]]*13%)+(Data[[#This Row],[Gross]]*13%)*15%+23</f>
        <v>451.61650000000003</v>
      </c>
      <c r="J6" s="129">
        <f>Data[[#This Row],[Gross]]-Data[[#This Row],[Deduction]]</f>
        <v>2415.3834999999999</v>
      </c>
    </row>
    <row r="7" spans="1:13">
      <c r="A7" s="95">
        <v>43843</v>
      </c>
      <c r="B7" s="66" t="s">
        <v>53</v>
      </c>
      <c r="C7" s="131" t="s">
        <v>108</v>
      </c>
      <c r="D7" s="161" t="s">
        <v>32</v>
      </c>
      <c r="E7" s="61">
        <v>357</v>
      </c>
      <c r="F7" s="61">
        <v>357</v>
      </c>
      <c r="G7" s="61">
        <f>Data[[#This Row],[Qty Delivered]]-Data[[#This Row],[Qty Sold]]</f>
        <v>0</v>
      </c>
      <c r="H7" s="132">
        <v>17190</v>
      </c>
      <c r="I7" s="130">
        <f>(Data[[#This Row],[Gross]]*13%)+(Data[[#This Row],[Gross]]*13%)*15%+23</f>
        <v>2592.9050000000002</v>
      </c>
      <c r="J7" s="129">
        <f>Data[[#This Row],[Gross]]-Data[[#This Row],[Deduction]]</f>
        <v>14597.094999999999</v>
      </c>
    </row>
    <row r="8" spans="1:13">
      <c r="A8" s="95">
        <v>43845</v>
      </c>
      <c r="B8" s="66" t="s">
        <v>53</v>
      </c>
      <c r="C8" s="131" t="s">
        <v>108</v>
      </c>
      <c r="D8" s="161" t="s">
        <v>10</v>
      </c>
      <c r="E8" s="61">
        <v>193</v>
      </c>
      <c r="F8" s="61">
        <v>193</v>
      </c>
      <c r="G8" s="61">
        <f>Data[[#This Row],[Qty Delivered]]-Data[[#This Row],[Qty Sold]]</f>
        <v>0</v>
      </c>
      <c r="H8" s="132">
        <v>8340</v>
      </c>
      <c r="I8" s="130">
        <f>(Data[[#This Row],[Gross]]*13%)+(Data[[#This Row],[Gross]]*13%)*15%+23</f>
        <v>1269.83</v>
      </c>
      <c r="J8" s="129">
        <f>Data[[#This Row],[Gross]]-Data[[#This Row],[Deduction]]</f>
        <v>7070.17</v>
      </c>
      <c r="L8" s="130"/>
      <c r="M8" s="130"/>
    </row>
    <row r="9" spans="1:13">
      <c r="A9" s="95">
        <v>43845</v>
      </c>
      <c r="B9" s="66" t="s">
        <v>53</v>
      </c>
      <c r="C9" s="131" t="s">
        <v>108</v>
      </c>
      <c r="D9" s="161" t="s">
        <v>29</v>
      </c>
      <c r="E9" s="61">
        <v>53</v>
      </c>
      <c r="F9" s="61">
        <v>53</v>
      </c>
      <c r="G9" s="61">
        <f>Data[[#This Row],[Qty Delivered]]-Data[[#This Row],[Qty Sold]]</f>
        <v>0</v>
      </c>
      <c r="H9" s="132">
        <v>1042.5</v>
      </c>
      <c r="I9" s="130">
        <f>(Data[[#This Row],[Gross]]*13%)+(Data[[#This Row],[Gross]]*13%)*15%+23</f>
        <v>178.85374999999999</v>
      </c>
      <c r="J9" s="129">
        <f>Data[[#This Row],[Gross]]-Data[[#This Row],[Deduction]]</f>
        <v>863.64625000000001</v>
      </c>
      <c r="L9" s="130"/>
      <c r="M9" s="130"/>
    </row>
    <row r="10" spans="1:13">
      <c r="A10" s="95">
        <v>43845</v>
      </c>
      <c r="B10" s="66" t="s">
        <v>53</v>
      </c>
      <c r="C10" s="131" t="s">
        <v>108</v>
      </c>
      <c r="D10" s="161" t="s">
        <v>30</v>
      </c>
      <c r="E10" s="61">
        <v>71</v>
      </c>
      <c r="F10" s="61">
        <v>71</v>
      </c>
      <c r="G10" s="61">
        <f>Data[[#This Row],[Qty Delivered]]-Data[[#This Row],[Qty Sold]]</f>
        <v>0</v>
      </c>
      <c r="H10" s="132">
        <v>1042.5</v>
      </c>
      <c r="I10" s="130">
        <f>(Data[[#This Row],[Gross]]*13%)+(Data[[#This Row],[Gross]]*13%)*15%+23</f>
        <v>178.85374999999999</v>
      </c>
      <c r="J10" s="129">
        <f>Data[[#This Row],[Gross]]-Data[[#This Row],[Deduction]]</f>
        <v>863.64625000000001</v>
      </c>
    </row>
    <row r="11" spans="1:13">
      <c r="A11" s="66">
        <v>43849</v>
      </c>
      <c r="B11" s="95" t="s">
        <v>53</v>
      </c>
      <c r="C11" s="131" t="s">
        <v>33</v>
      </c>
      <c r="D11" s="131" t="s">
        <v>10</v>
      </c>
      <c r="E11" s="61">
        <v>356</v>
      </c>
      <c r="F11" s="62">
        <v>356</v>
      </c>
      <c r="G11" s="61">
        <f>Data[[#This Row],[Qty Delivered]]-Data[[#This Row],[Qty Sold]]</f>
        <v>0</v>
      </c>
      <c r="H11" s="130">
        <v>11443.99</v>
      </c>
      <c r="I11" s="130">
        <f>(Data[[#This Row],[Gross]]*13%)+(Data[[#This Row],[Gross]]*13%)*15%+23</f>
        <v>1733.8765050000002</v>
      </c>
      <c r="J11" s="129">
        <f>Data[[#This Row],[Gross]]-Data[[#This Row],[Deduction]]</f>
        <v>9710.1134949999996</v>
      </c>
    </row>
    <row r="12" spans="1:13">
      <c r="A12" s="95">
        <v>43850</v>
      </c>
      <c r="B12" s="95" t="s">
        <v>53</v>
      </c>
      <c r="C12" s="131" t="s">
        <v>33</v>
      </c>
      <c r="D12" s="161" t="s">
        <v>29</v>
      </c>
      <c r="E12" s="62">
        <v>303</v>
      </c>
      <c r="F12" s="62">
        <v>303</v>
      </c>
      <c r="G12" s="62">
        <f>Data[[#This Row],[Qty Delivered]]-Data[[#This Row],[Qty Sold]]</f>
        <v>0</v>
      </c>
      <c r="H12" s="132">
        <v>10741</v>
      </c>
      <c r="I12" s="130">
        <f>(Data[[#This Row],[Gross]]*13%)+(Data[[#This Row],[Gross]]*13%)*15%+23</f>
        <v>1628.7795000000001</v>
      </c>
      <c r="J12" s="129">
        <f>Data[[#This Row],[Gross]]-Data[[#This Row],[Deduction]]</f>
        <v>9112.2204999999994</v>
      </c>
    </row>
    <row r="13" spans="1:13">
      <c r="A13" s="66">
        <v>43850</v>
      </c>
      <c r="B13" s="95" t="s">
        <v>53</v>
      </c>
      <c r="C13" s="131" t="s">
        <v>33</v>
      </c>
      <c r="D13" s="131" t="s">
        <v>10</v>
      </c>
      <c r="E13" s="61">
        <v>272</v>
      </c>
      <c r="F13" s="62">
        <v>272</v>
      </c>
      <c r="G13" s="61">
        <f>Data[[#This Row],[Qty Delivered]]-Data[[#This Row],[Qty Sold]]</f>
        <v>0</v>
      </c>
      <c r="H13" s="130">
        <v>10030</v>
      </c>
      <c r="I13" s="130">
        <f>(Data[[#This Row],[Gross]]*13%)+(Data[[#This Row],[Gross]]*13%)*15%+23</f>
        <v>1522.4850000000001</v>
      </c>
      <c r="J13" s="129">
        <f>Data[[#This Row],[Gross]]-Data[[#This Row],[Deduction]]</f>
        <v>8507.5149999999994</v>
      </c>
    </row>
    <row r="14" spans="1:13">
      <c r="A14" s="66">
        <v>43851</v>
      </c>
      <c r="B14" s="95" t="s">
        <v>53</v>
      </c>
      <c r="C14" s="131" t="s">
        <v>33</v>
      </c>
      <c r="D14" s="131" t="s">
        <v>10</v>
      </c>
      <c r="E14" s="61">
        <v>272</v>
      </c>
      <c r="F14" s="62">
        <v>272</v>
      </c>
      <c r="G14" s="61">
        <f>Data[[#This Row],[Qty Delivered]]-Data[[#This Row],[Qty Sold]]</f>
        <v>0</v>
      </c>
      <c r="H14" s="130">
        <v>13466</v>
      </c>
      <c r="I14" s="130">
        <f>(Data[[#This Row],[Gross]]*13%)+(Data[[#This Row],[Gross]]*13%)*15%+23</f>
        <v>2036.1670000000001</v>
      </c>
      <c r="J14" s="129">
        <f>Data[[#This Row],[Gross]]-Data[[#This Row],[Deduction]]</f>
        <v>11429.833000000001</v>
      </c>
    </row>
    <row r="15" spans="1:13">
      <c r="A15" s="66">
        <v>43852</v>
      </c>
      <c r="B15" s="95" t="s">
        <v>53</v>
      </c>
      <c r="C15" s="131" t="s">
        <v>33</v>
      </c>
      <c r="D15" s="131" t="s">
        <v>10</v>
      </c>
      <c r="E15" s="61">
        <v>281</v>
      </c>
      <c r="F15" s="61">
        <v>281</v>
      </c>
      <c r="G15" s="61">
        <f>Data[[#This Row],[Qty Delivered]]-Data[[#This Row],[Qty Sold]]</f>
        <v>0</v>
      </c>
      <c r="H15" s="130">
        <v>13555</v>
      </c>
      <c r="I15" s="130">
        <f>(Data[[#This Row],[Gross]]*13%)+(Data[[#This Row],[Gross]]*13%)*15%+23</f>
        <v>2049.4724999999999</v>
      </c>
      <c r="J15" s="129">
        <f>Data[[#This Row],[Gross]]-Data[[#This Row],[Deduction]]</f>
        <v>11505.5275</v>
      </c>
    </row>
    <row r="16" spans="1:13">
      <c r="A16" s="95">
        <v>43853</v>
      </c>
      <c r="B16" s="95" t="s">
        <v>53</v>
      </c>
      <c r="C16" s="131" t="s">
        <v>33</v>
      </c>
      <c r="D16" s="161" t="s">
        <v>29</v>
      </c>
      <c r="E16" s="62">
        <v>96</v>
      </c>
      <c r="F16" s="62">
        <v>96</v>
      </c>
      <c r="G16" s="62">
        <f>Data[[#This Row],[Qty Delivered]]-Data[[#This Row],[Qty Sold]]</f>
        <v>0</v>
      </c>
      <c r="H16" s="132">
        <v>4260</v>
      </c>
      <c r="I16" s="130">
        <f>(Data[[#This Row],[Gross]]*13%)+(Data[[#This Row],[Gross]]*13%)*15%+23</f>
        <v>659.87000000000012</v>
      </c>
      <c r="J16" s="129">
        <f>Data[[#This Row],[Gross]]-Data[[#This Row],[Deduction]]</f>
        <v>3600.13</v>
      </c>
    </row>
    <row r="17" spans="1:10">
      <c r="A17" s="95">
        <v>43853</v>
      </c>
      <c r="B17" s="95" t="s">
        <v>53</v>
      </c>
      <c r="C17" s="131" t="s">
        <v>33</v>
      </c>
      <c r="D17" s="131" t="s">
        <v>10</v>
      </c>
      <c r="E17" s="61">
        <v>2</v>
      </c>
      <c r="F17" s="61">
        <v>2</v>
      </c>
      <c r="G17" s="61">
        <f>Data[[#This Row],[Qty Delivered]]-Data[[#This Row],[Qty Sold]]</f>
        <v>0</v>
      </c>
      <c r="H17" s="130">
        <v>100</v>
      </c>
      <c r="I17" s="130">
        <f>(Data[[#This Row],[Gross]]*13%)+(Data[[#This Row],[Gross]]*13%)*15%+23</f>
        <v>37.950000000000003</v>
      </c>
      <c r="J17" s="129">
        <f>Data[[#This Row],[Gross]]-Data[[#This Row],[Deduction]]</f>
        <v>62.05</v>
      </c>
    </row>
    <row r="18" spans="1:10">
      <c r="A18" s="95">
        <v>43853</v>
      </c>
      <c r="B18" s="95" t="s">
        <v>53</v>
      </c>
      <c r="C18" s="131" t="s">
        <v>33</v>
      </c>
      <c r="D18" s="131" t="s">
        <v>30</v>
      </c>
      <c r="E18" s="61">
        <v>22</v>
      </c>
      <c r="F18" s="61">
        <v>17</v>
      </c>
      <c r="G18" s="61">
        <f>Data[[#This Row],[Qty Delivered]]-Data[[#This Row],[Qty Sold]]</f>
        <v>5</v>
      </c>
      <c r="H18" s="130">
        <v>795</v>
      </c>
      <c r="I18" s="130">
        <f>(Data[[#This Row],[Gross]]*13%)+(Data[[#This Row],[Gross]]*13%)*15%+23</f>
        <v>141.85250000000002</v>
      </c>
      <c r="J18" s="129">
        <f>Data[[#This Row],[Gross]]-Data[[#This Row],[Deduction]]</f>
        <v>653.14750000000004</v>
      </c>
    </row>
    <row r="19" spans="1:10">
      <c r="A19" s="95">
        <v>43856</v>
      </c>
      <c r="B19" s="95" t="s">
        <v>53</v>
      </c>
      <c r="C19" s="131" t="s">
        <v>33</v>
      </c>
      <c r="D19" s="161" t="s">
        <v>29</v>
      </c>
      <c r="E19" s="62">
        <v>298</v>
      </c>
      <c r="F19" s="62">
        <v>222</v>
      </c>
      <c r="G19" s="62">
        <f>Data[[#This Row],[Qty Delivered]]-Data[[#This Row],[Qty Sold]]</f>
        <v>76</v>
      </c>
      <c r="H19" s="132">
        <v>6155</v>
      </c>
      <c r="I19" s="130">
        <f>(Data[[#This Row],[Gross]]*13%)+(Data[[#This Row],[Gross]]*13%)*15%+23</f>
        <v>943.17250000000001</v>
      </c>
      <c r="J19" s="129">
        <f>Data[[#This Row],[Gross]]-Data[[#This Row],[Deduction]]</f>
        <v>5211.8275000000003</v>
      </c>
    </row>
    <row r="20" spans="1:10">
      <c r="A20" s="95">
        <v>43857</v>
      </c>
      <c r="B20" s="95" t="s">
        <v>53</v>
      </c>
      <c r="C20" s="131" t="s">
        <v>33</v>
      </c>
      <c r="D20" s="161" t="s">
        <v>29</v>
      </c>
      <c r="E20" s="62">
        <v>46</v>
      </c>
      <c r="F20" s="62">
        <v>46</v>
      </c>
      <c r="G20" s="62">
        <f>Data[[#This Row],[Qty Delivered]]-Data[[#This Row],[Qty Sold]]</f>
        <v>0</v>
      </c>
      <c r="H20" s="132">
        <v>2065</v>
      </c>
      <c r="I20" s="130">
        <f>(Data[[#This Row],[Gross]]*13%)+(Data[[#This Row],[Gross]]*13%)*15%+23</f>
        <v>331.71749999999997</v>
      </c>
      <c r="J20" s="129">
        <f>Data[[#This Row],[Gross]]-Data[[#This Row],[Deduction]]</f>
        <v>1733.2825</v>
      </c>
    </row>
    <row r="21" spans="1:10">
      <c r="A21" s="95">
        <v>43857</v>
      </c>
      <c r="B21" s="95" t="s">
        <v>53</v>
      </c>
      <c r="C21" s="131" t="s">
        <v>33</v>
      </c>
      <c r="D21" s="131" t="s">
        <v>30</v>
      </c>
      <c r="E21" s="61">
        <v>28</v>
      </c>
      <c r="F21" s="62">
        <v>28</v>
      </c>
      <c r="G21" s="61">
        <f>Data[[#This Row],[Qty Delivered]]-Data[[#This Row],[Qty Sold]]</f>
        <v>0</v>
      </c>
      <c r="H21" s="130">
        <v>1580</v>
      </c>
      <c r="I21" s="130">
        <f>(Data[[#This Row],[Gross]]*13%)+(Data[[#This Row],[Gross]]*13%)*15%+23</f>
        <v>259.21000000000004</v>
      </c>
      <c r="J21" s="129">
        <f>Data[[#This Row],[Gross]]-Data[[#This Row],[Deduction]]</f>
        <v>1320.79</v>
      </c>
    </row>
    <row r="22" spans="1:10">
      <c r="A22" s="95">
        <v>43857</v>
      </c>
      <c r="B22" s="95" t="s">
        <v>53</v>
      </c>
      <c r="C22" s="131" t="s">
        <v>33</v>
      </c>
      <c r="D22" s="161" t="s">
        <v>29</v>
      </c>
      <c r="E22" s="62">
        <v>258</v>
      </c>
      <c r="F22" s="62">
        <v>238</v>
      </c>
      <c r="G22" s="62">
        <f>Data[[#This Row],[Qty Delivered]]-Data[[#This Row],[Qty Sold]]</f>
        <v>20</v>
      </c>
      <c r="H22" s="132">
        <v>9055</v>
      </c>
      <c r="I22" s="130">
        <f>(Data[[#This Row],[Gross]]*13%)+(Data[[#This Row],[Gross]]*13%)*15%+23</f>
        <v>1376.7225000000001</v>
      </c>
      <c r="J22" s="129">
        <f>Data[[#This Row],[Gross]]-Data[[#This Row],[Deduction]]</f>
        <v>7678.2775000000001</v>
      </c>
    </row>
    <row r="23" spans="1:10">
      <c r="A23" s="66">
        <v>43858</v>
      </c>
      <c r="B23" s="95" t="s">
        <v>53</v>
      </c>
      <c r="C23" s="131" t="s">
        <v>33</v>
      </c>
      <c r="D23" s="131" t="s">
        <v>30</v>
      </c>
      <c r="E23" s="61">
        <v>333</v>
      </c>
      <c r="F23" s="62">
        <v>333</v>
      </c>
      <c r="G23" s="61">
        <f>Data[[#This Row],[Qty Delivered]]-Data[[#This Row],[Qty Sold]]</f>
        <v>0</v>
      </c>
      <c r="H23" s="130">
        <v>8640</v>
      </c>
      <c r="I23" s="130">
        <f>(Data[[#This Row],[Gross]]*13%)+(Data[[#This Row],[Gross]]*13%)*15%+23</f>
        <v>1314.68</v>
      </c>
      <c r="J23" s="129">
        <f>Data[[#This Row],[Gross]]-Data[[#This Row],[Deduction]]</f>
        <v>7325.32</v>
      </c>
    </row>
    <row r="24" spans="1:10">
      <c r="A24" s="66">
        <v>43859</v>
      </c>
      <c r="B24" s="95" t="s">
        <v>53</v>
      </c>
      <c r="C24" s="131" t="s">
        <v>33</v>
      </c>
      <c r="D24" s="131" t="s">
        <v>30</v>
      </c>
      <c r="E24" s="61">
        <v>330</v>
      </c>
      <c r="F24" s="62">
        <v>330</v>
      </c>
      <c r="G24" s="61">
        <f>Data[[#This Row],[Qty Delivered]]-Data[[#This Row],[Qty Sold]]</f>
        <v>0</v>
      </c>
      <c r="H24" s="130">
        <v>9805</v>
      </c>
      <c r="I24" s="130">
        <f>(Data[[#This Row],[Gross]]*13%)+(Data[[#This Row],[Gross]]*13%)*15%+23</f>
        <v>1488.8475000000001</v>
      </c>
      <c r="J24" s="129">
        <f>Data[[#This Row],[Gross]]-Data[[#This Row],[Deduction]]</f>
        <v>8316.1525000000001</v>
      </c>
    </row>
    <row r="25" spans="1:10">
      <c r="A25" s="66">
        <v>43859</v>
      </c>
      <c r="B25" s="95" t="s">
        <v>53</v>
      </c>
      <c r="C25" s="131" t="s">
        <v>33</v>
      </c>
      <c r="D25" s="131" t="s">
        <v>31</v>
      </c>
      <c r="E25" s="61">
        <v>155</v>
      </c>
      <c r="F25" s="62">
        <v>155</v>
      </c>
      <c r="G25" s="61">
        <f>Data[[#This Row],[Qty Delivered]]-Data[[#This Row],[Qty Sold]]</f>
        <v>0</v>
      </c>
      <c r="H25" s="130">
        <v>1535</v>
      </c>
      <c r="I25" s="130">
        <f>(Data[[#This Row],[Gross]]*13%)+(Data[[#This Row],[Gross]]*13%)*15%+23</f>
        <v>252.48250000000002</v>
      </c>
      <c r="J25" s="129">
        <f>Data[[#This Row],[Gross]]-Data[[#This Row],[Deduction]]</f>
        <v>1282.5174999999999</v>
      </c>
    </row>
    <row r="26" spans="1:10">
      <c r="A26" s="66">
        <v>43860</v>
      </c>
      <c r="B26" s="95" t="s">
        <v>53</v>
      </c>
      <c r="C26" s="131" t="s">
        <v>33</v>
      </c>
      <c r="D26" s="161" t="s">
        <v>29</v>
      </c>
      <c r="E26" s="62">
        <v>159</v>
      </c>
      <c r="F26" s="62">
        <v>56</v>
      </c>
      <c r="G26" s="62">
        <f>Data[[#This Row],[Qty Delivered]]-Data[[#This Row],[Qty Sold]]</f>
        <v>103</v>
      </c>
      <c r="H26" s="132">
        <v>1980</v>
      </c>
      <c r="I26" s="130">
        <f>(Data[[#This Row],[Gross]]*13%)+(Data[[#This Row],[Gross]]*13%)*15%+23</f>
        <v>319.01000000000005</v>
      </c>
      <c r="J26" s="129">
        <f>Data[[#This Row],[Gross]]-Data[[#This Row],[Deduction]]</f>
        <v>1660.99</v>
      </c>
    </row>
    <row r="27" spans="1:10">
      <c r="A27" s="66">
        <v>43860</v>
      </c>
      <c r="B27" s="95" t="s">
        <v>53</v>
      </c>
      <c r="C27" s="131" t="s">
        <v>33</v>
      </c>
      <c r="D27" s="131" t="s">
        <v>30</v>
      </c>
      <c r="E27" s="61">
        <v>170</v>
      </c>
      <c r="F27" s="62">
        <v>170</v>
      </c>
      <c r="G27" s="61">
        <f>Data[[#This Row],[Qty Delivered]]-Data[[#This Row],[Qty Sold]]</f>
        <v>0</v>
      </c>
      <c r="H27" s="130">
        <v>4343</v>
      </c>
      <c r="I27" s="130">
        <f>(Data[[#This Row],[Gross]]*13%)+(Data[[#This Row],[Gross]]*13%)*15%+23</f>
        <v>672.27850000000001</v>
      </c>
      <c r="J27" s="129">
        <f>Data[[#This Row],[Gross]]-Data[[#This Row],[Deduction]]</f>
        <v>3670.7215000000001</v>
      </c>
    </row>
    <row r="28" spans="1:10">
      <c r="A28" s="66">
        <v>43860</v>
      </c>
      <c r="B28" s="95" t="s">
        <v>53</v>
      </c>
      <c r="C28" s="131" t="s">
        <v>33</v>
      </c>
      <c r="D28" s="131" t="s">
        <v>31</v>
      </c>
      <c r="E28" s="61">
        <v>91</v>
      </c>
      <c r="F28" s="62">
        <v>50</v>
      </c>
      <c r="G28" s="61">
        <f>Data[[#This Row],[Qty Delivered]]-Data[[#This Row],[Qty Sold]]</f>
        <v>41</v>
      </c>
      <c r="H28" s="130">
        <v>274</v>
      </c>
      <c r="I28" s="130">
        <f>(Data[[#This Row],[Gross]]*13%)+(Data[[#This Row],[Gross]]*13%)*15%+23</f>
        <v>63.963000000000008</v>
      </c>
      <c r="J28" s="129">
        <f>Data[[#This Row],[Gross]]-Data[[#This Row],[Deduction]]</f>
        <v>210.03699999999998</v>
      </c>
    </row>
    <row r="29" spans="1:10">
      <c r="A29" s="66">
        <v>43863</v>
      </c>
      <c r="B29" s="95" t="s">
        <v>53</v>
      </c>
      <c r="C29" s="131" t="s">
        <v>33</v>
      </c>
      <c r="D29" s="131" t="s">
        <v>10</v>
      </c>
      <c r="E29" s="61">
        <v>220</v>
      </c>
      <c r="F29" s="62">
        <v>220</v>
      </c>
      <c r="G29" s="61">
        <f>Data[[#This Row],[Qty Delivered]]-Data[[#This Row],[Qty Sold]]</f>
        <v>0</v>
      </c>
      <c r="H29" s="130">
        <v>13200</v>
      </c>
      <c r="I29" s="130">
        <f>(Data[[#This Row],[Gross]]*13%)+(Data[[#This Row],[Gross]]*13%)*15%+23</f>
        <v>1996.4</v>
      </c>
      <c r="J29" s="129">
        <f>Data[[#This Row],[Gross]]-Data[[#This Row],[Deduction]]</f>
        <v>11203.6</v>
      </c>
    </row>
    <row r="30" spans="1:10">
      <c r="A30" s="66">
        <v>43863</v>
      </c>
      <c r="B30" s="95" t="s">
        <v>53</v>
      </c>
      <c r="C30" s="131" t="s">
        <v>33</v>
      </c>
      <c r="D30" s="131" t="s">
        <v>10</v>
      </c>
      <c r="E30" s="61">
        <v>73</v>
      </c>
      <c r="F30" s="62">
        <v>73</v>
      </c>
      <c r="G30" s="61">
        <f>Data[[#This Row],[Qty Delivered]]-Data[[#This Row],[Qty Sold]]</f>
        <v>0</v>
      </c>
      <c r="H30" s="130">
        <v>4380</v>
      </c>
      <c r="I30" s="130">
        <f>(Data[[#This Row],[Gross]]*13%)+(Data[[#This Row],[Gross]]*13%)*15%+23</f>
        <v>677.81</v>
      </c>
      <c r="J30" s="129">
        <f>Data[[#This Row],[Gross]]-Data[[#This Row],[Deduction]]</f>
        <v>3702.19</v>
      </c>
    </row>
    <row r="31" spans="1:10">
      <c r="A31" s="66">
        <v>43863</v>
      </c>
      <c r="B31" s="95" t="s">
        <v>53</v>
      </c>
      <c r="C31" s="131" t="s">
        <v>33</v>
      </c>
      <c r="D31" s="131" t="s">
        <v>30</v>
      </c>
      <c r="E31" s="61">
        <v>165</v>
      </c>
      <c r="F31" s="62">
        <v>165</v>
      </c>
      <c r="G31" s="61">
        <f>Data[[#This Row],[Qty Delivered]]-Data[[#This Row],[Qty Sold]]</f>
        <v>0</v>
      </c>
      <c r="H31" s="130">
        <v>4027</v>
      </c>
      <c r="I31" s="130">
        <f>(Data[[#This Row],[Gross]]*13%)+(Data[[#This Row],[Gross]]*13%)*15%+23</f>
        <v>625.03649999999993</v>
      </c>
      <c r="J31" s="129">
        <f>Data[[#This Row],[Gross]]-Data[[#This Row],[Deduction]]</f>
        <v>3401.9634999999998</v>
      </c>
    </row>
    <row r="32" spans="1:10">
      <c r="A32" s="66">
        <v>43864</v>
      </c>
      <c r="B32" s="95" t="s">
        <v>53</v>
      </c>
      <c r="C32" s="131" t="s">
        <v>33</v>
      </c>
      <c r="D32" s="131" t="s">
        <v>10</v>
      </c>
      <c r="E32" s="61">
        <v>120</v>
      </c>
      <c r="F32" s="62">
        <v>120</v>
      </c>
      <c r="G32" s="61">
        <f>Data[[#This Row],[Qty Delivered]]-Data[[#This Row],[Qty Sold]]</f>
        <v>0</v>
      </c>
      <c r="H32" s="130">
        <v>8071</v>
      </c>
      <c r="I32" s="130">
        <f>(Data[[#This Row],[Gross]]*13%)+(Data[[#This Row],[Gross]]*13%)*15%+23</f>
        <v>1229.6145000000001</v>
      </c>
      <c r="J32" s="129">
        <f>Data[[#This Row],[Gross]]-Data[[#This Row],[Deduction]]</f>
        <v>6841.3855000000003</v>
      </c>
    </row>
    <row r="33" spans="1:10">
      <c r="A33" s="66">
        <v>43864</v>
      </c>
      <c r="B33" s="95" t="s">
        <v>53</v>
      </c>
      <c r="C33" s="131" t="s">
        <v>33</v>
      </c>
      <c r="D33" s="161" t="s">
        <v>29</v>
      </c>
      <c r="E33" s="62">
        <v>206</v>
      </c>
      <c r="F33" s="62">
        <v>206</v>
      </c>
      <c r="G33" s="62">
        <f>Data[[#This Row],[Qty Delivered]]-Data[[#This Row],[Qty Sold]]</f>
        <v>0</v>
      </c>
      <c r="H33" s="132">
        <v>6035</v>
      </c>
      <c r="I33" s="130">
        <f>(Data[[#This Row],[Gross]]*13%)+(Data[[#This Row],[Gross]]*13%)*15%+23</f>
        <v>925.23250000000007</v>
      </c>
      <c r="J33" s="129">
        <f>Data[[#This Row],[Gross]]-Data[[#This Row],[Deduction]]</f>
        <v>5109.7674999999999</v>
      </c>
    </row>
    <row r="34" spans="1:10">
      <c r="A34" s="66">
        <v>43865</v>
      </c>
      <c r="B34" s="95" t="s">
        <v>53</v>
      </c>
      <c r="C34" s="131" t="s">
        <v>33</v>
      </c>
      <c r="D34" s="131" t="s">
        <v>10</v>
      </c>
      <c r="E34" s="61">
        <v>305</v>
      </c>
      <c r="F34" s="62">
        <v>305</v>
      </c>
      <c r="G34" s="61">
        <f>Data[[#This Row],[Qty Delivered]]-Data[[#This Row],[Qty Sold]]</f>
        <v>0</v>
      </c>
      <c r="H34" s="130">
        <v>22290</v>
      </c>
      <c r="I34" s="130">
        <f>(Data[[#This Row],[Gross]]*13%)+(Data[[#This Row],[Gross]]*13%)*15%+23</f>
        <v>3355.3550000000005</v>
      </c>
      <c r="J34" s="129">
        <f>Data[[#This Row],[Gross]]-Data[[#This Row],[Deduction]]</f>
        <v>18934.645</v>
      </c>
    </row>
    <row r="35" spans="1:10">
      <c r="A35" s="66">
        <v>43865</v>
      </c>
      <c r="B35" s="95" t="s">
        <v>53</v>
      </c>
      <c r="C35" s="131" t="s">
        <v>33</v>
      </c>
      <c r="D35" s="131" t="s">
        <v>10</v>
      </c>
      <c r="E35" s="61">
        <v>222</v>
      </c>
      <c r="F35" s="62">
        <v>222</v>
      </c>
      <c r="G35" s="61">
        <f>Data[[#This Row],[Qty Delivered]]-Data[[#This Row],[Qty Sold]]</f>
        <v>0</v>
      </c>
      <c r="H35" s="130">
        <v>15930</v>
      </c>
      <c r="I35" s="130">
        <f>(Data[[#This Row],[Gross]]*13%)+(Data[[#This Row],[Gross]]*13%)*15%+23</f>
        <v>2404.5349999999999</v>
      </c>
      <c r="J35" s="129">
        <f>Data[[#This Row],[Gross]]-Data[[#This Row],[Deduction]]</f>
        <v>13525.465</v>
      </c>
    </row>
    <row r="36" spans="1:10">
      <c r="A36" s="95">
        <v>43866</v>
      </c>
      <c r="B36" s="95" t="s">
        <v>53</v>
      </c>
      <c r="C36" s="131" t="s">
        <v>33</v>
      </c>
      <c r="D36" s="161" t="s">
        <v>29</v>
      </c>
      <c r="E36" s="62">
        <v>200</v>
      </c>
      <c r="F36" s="62">
        <v>130</v>
      </c>
      <c r="G36" s="62">
        <f>Data[[#This Row],[Qty Delivered]]-Data[[#This Row],[Qty Sold]]</f>
        <v>70</v>
      </c>
      <c r="H36" s="132">
        <v>3270</v>
      </c>
      <c r="I36" s="130">
        <f>(Data[[#This Row],[Gross]]*13%)+(Data[[#This Row],[Gross]]*13%)*15%+23</f>
        <v>511.86500000000001</v>
      </c>
      <c r="J36" s="129">
        <f>Data[[#This Row],[Gross]]-Data[[#This Row],[Deduction]]</f>
        <v>2758.1350000000002</v>
      </c>
    </row>
    <row r="37" spans="1:10">
      <c r="A37" s="66">
        <v>43866</v>
      </c>
      <c r="B37" s="95" t="s">
        <v>53</v>
      </c>
      <c r="C37" s="131" t="s">
        <v>33</v>
      </c>
      <c r="D37" s="131" t="s">
        <v>10</v>
      </c>
      <c r="E37" s="61">
        <v>300</v>
      </c>
      <c r="F37" s="62">
        <v>300</v>
      </c>
      <c r="G37" s="61">
        <f>Data[[#This Row],[Qty Delivered]]-Data[[#This Row],[Qty Sold]]</f>
        <v>0</v>
      </c>
      <c r="H37" s="130">
        <v>18270</v>
      </c>
      <c r="I37" s="130">
        <f>(Data[[#This Row],[Gross]]*13%)+(Data[[#This Row],[Gross]]*13%)*15%+23</f>
        <v>2754.3649999999998</v>
      </c>
      <c r="J37" s="129">
        <f>Data[[#This Row],[Gross]]-Data[[#This Row],[Deduction]]</f>
        <v>15515.635</v>
      </c>
    </row>
    <row r="38" spans="1:10">
      <c r="A38" s="66">
        <v>43866</v>
      </c>
      <c r="B38" s="95" t="s">
        <v>53</v>
      </c>
      <c r="C38" s="131" t="s">
        <v>33</v>
      </c>
      <c r="D38" s="131" t="s">
        <v>10</v>
      </c>
      <c r="E38" s="61">
        <v>216</v>
      </c>
      <c r="F38" s="62">
        <v>216</v>
      </c>
      <c r="G38" s="61">
        <f>Data[[#This Row],[Qty Delivered]]-Data[[#This Row],[Qty Sold]]</f>
        <v>0</v>
      </c>
      <c r="H38" s="130">
        <v>13350</v>
      </c>
      <c r="I38" s="130">
        <f>(Data[[#This Row],[Gross]]*13%)+(Data[[#This Row],[Gross]]*13%)*15%+23</f>
        <v>2018.825</v>
      </c>
      <c r="J38" s="129">
        <f>Data[[#This Row],[Gross]]-Data[[#This Row],[Deduction]]</f>
        <v>11331.174999999999</v>
      </c>
    </row>
    <row r="39" spans="1:10">
      <c r="A39" s="66">
        <v>43867</v>
      </c>
      <c r="B39" s="95" t="s">
        <v>53</v>
      </c>
      <c r="C39" s="131" t="s">
        <v>33</v>
      </c>
      <c r="D39" s="131" t="s">
        <v>10</v>
      </c>
      <c r="E39" s="61">
        <v>257</v>
      </c>
      <c r="F39" s="62">
        <v>257</v>
      </c>
      <c r="G39" s="61">
        <f>Data[[#This Row],[Qty Delivered]]-Data[[#This Row],[Qty Sold]]</f>
        <v>0</v>
      </c>
      <c r="H39" s="130">
        <v>14760</v>
      </c>
      <c r="I39" s="130">
        <f>(Data[[#This Row],[Gross]]*13%)+(Data[[#This Row],[Gross]]*13%)*15%+23</f>
        <v>2229.62</v>
      </c>
      <c r="J39" s="129">
        <f>Data[[#This Row],[Gross]]-Data[[#This Row],[Deduction]]</f>
        <v>12530.380000000001</v>
      </c>
    </row>
    <row r="40" spans="1:10">
      <c r="A40" s="66">
        <v>43870</v>
      </c>
      <c r="B40" s="95" t="s">
        <v>53</v>
      </c>
      <c r="C40" s="131" t="s">
        <v>33</v>
      </c>
      <c r="D40" s="161" t="s">
        <v>29</v>
      </c>
      <c r="E40" s="62">
        <v>300</v>
      </c>
      <c r="F40" s="62">
        <v>300</v>
      </c>
      <c r="G40" s="62">
        <f>Data[[#This Row],[Qty Delivered]]-Data[[#This Row],[Qty Sold]]</f>
        <v>0</v>
      </c>
      <c r="H40" s="132">
        <v>8630</v>
      </c>
      <c r="I40" s="130">
        <f>(Data[[#This Row],[Gross]]*13%)+(Data[[#This Row],[Gross]]*13%)*15%+23</f>
        <v>1313.1850000000002</v>
      </c>
      <c r="J40" s="129">
        <f>Data[[#This Row],[Gross]]-Data[[#This Row],[Deduction]]</f>
        <v>7316.8149999999996</v>
      </c>
    </row>
    <row r="41" spans="1:10">
      <c r="A41" s="66">
        <v>43870</v>
      </c>
      <c r="B41" s="95" t="s">
        <v>53</v>
      </c>
      <c r="C41" s="131" t="s">
        <v>33</v>
      </c>
      <c r="D41" s="131" t="s">
        <v>32</v>
      </c>
      <c r="E41" s="61">
        <v>25</v>
      </c>
      <c r="F41" s="62">
        <v>25</v>
      </c>
      <c r="G41" s="61">
        <f>Data[[#This Row],[Qty Delivered]]-Data[[#This Row],[Qty Sold]]</f>
        <v>0</v>
      </c>
      <c r="H41" s="130">
        <v>895</v>
      </c>
      <c r="I41" s="130">
        <f>(Data[[#This Row],[Gross]]*13%)+(Data[[#This Row],[Gross]]*13%)*15%+23</f>
        <v>156.80250000000001</v>
      </c>
      <c r="J41" s="129">
        <f>Data[[#This Row],[Gross]]-Data[[#This Row],[Deduction]]</f>
        <v>738.19749999999999</v>
      </c>
    </row>
    <row r="42" spans="1:10">
      <c r="A42" s="95">
        <v>43871</v>
      </c>
      <c r="B42" s="95" t="s">
        <v>53</v>
      </c>
      <c r="C42" s="131" t="s">
        <v>33</v>
      </c>
      <c r="D42" s="161" t="s">
        <v>29</v>
      </c>
      <c r="E42" s="62">
        <v>100</v>
      </c>
      <c r="F42" s="62">
        <v>100</v>
      </c>
      <c r="G42" s="62">
        <f>Data[[#This Row],[Qty Delivered]]-Data[[#This Row],[Qty Sold]]</f>
        <v>0</v>
      </c>
      <c r="H42" s="132">
        <v>1920</v>
      </c>
      <c r="I42" s="130">
        <f>(Data[[#This Row],[Gross]]*13%)+(Data[[#This Row],[Gross]]*13%)*15%+23</f>
        <v>310.04000000000002</v>
      </c>
      <c r="J42" s="129">
        <f>Data[[#This Row],[Gross]]-Data[[#This Row],[Deduction]]</f>
        <v>1609.96</v>
      </c>
    </row>
    <row r="43" spans="1:10">
      <c r="A43" s="95">
        <v>43871</v>
      </c>
      <c r="B43" s="95" t="s">
        <v>53</v>
      </c>
      <c r="C43" s="131" t="s">
        <v>33</v>
      </c>
      <c r="D43" s="131" t="s">
        <v>30</v>
      </c>
      <c r="E43" s="61">
        <v>136</v>
      </c>
      <c r="F43" s="62">
        <v>136</v>
      </c>
      <c r="G43" s="61">
        <f>Data[[#This Row],[Qty Delivered]]-Data[[#This Row],[Qty Sold]]</f>
        <v>0</v>
      </c>
      <c r="H43" s="130">
        <v>4649</v>
      </c>
      <c r="I43" s="130">
        <f>(Data[[#This Row],[Gross]]*13%)+(Data[[#This Row],[Gross]]*13%)*15%+23</f>
        <v>718.02549999999997</v>
      </c>
      <c r="J43" s="129">
        <f>Data[[#This Row],[Gross]]-Data[[#This Row],[Deduction]]</f>
        <v>3930.9745000000003</v>
      </c>
    </row>
    <row r="44" spans="1:10">
      <c r="A44" s="95">
        <v>43872</v>
      </c>
      <c r="B44" s="95" t="s">
        <v>53</v>
      </c>
      <c r="C44" s="131" t="s">
        <v>33</v>
      </c>
      <c r="D44" s="161" t="s">
        <v>29</v>
      </c>
      <c r="E44" s="62">
        <v>187</v>
      </c>
      <c r="F44" s="62">
        <v>187</v>
      </c>
      <c r="G44" s="62">
        <f>Data[[#This Row],[Qty Delivered]]-Data[[#This Row],[Qty Sold]]</f>
        <v>0</v>
      </c>
      <c r="H44" s="132">
        <v>5271</v>
      </c>
      <c r="I44" s="130">
        <f>(Data[[#This Row],[Gross]]*13%)+(Data[[#This Row],[Gross]]*13%)*15%+23</f>
        <v>811.0145</v>
      </c>
      <c r="J44" s="129">
        <f>Data[[#This Row],[Gross]]-Data[[#This Row],[Deduction]]</f>
        <v>4459.9854999999998</v>
      </c>
    </row>
    <row r="45" spans="1:10">
      <c r="A45" s="95">
        <v>43872</v>
      </c>
      <c r="B45" s="95" t="s">
        <v>53</v>
      </c>
      <c r="C45" s="131" t="s">
        <v>33</v>
      </c>
      <c r="D45" s="131" t="s">
        <v>30</v>
      </c>
      <c r="E45" s="61">
        <v>90</v>
      </c>
      <c r="F45" s="62">
        <v>90</v>
      </c>
      <c r="G45" s="61">
        <f>Data[[#This Row],[Qty Delivered]]-Data[[#This Row],[Qty Sold]]</f>
        <v>0</v>
      </c>
      <c r="H45" s="130">
        <v>3150</v>
      </c>
      <c r="I45" s="130">
        <f>(Data[[#This Row],[Gross]]*13%)+(Data[[#This Row],[Gross]]*13%)*15%+23</f>
        <v>493.92500000000001</v>
      </c>
      <c r="J45" s="129">
        <f>Data[[#This Row],[Gross]]-Data[[#This Row],[Deduction]]</f>
        <v>2656.0749999999998</v>
      </c>
    </row>
    <row r="46" spans="1:10">
      <c r="A46" s="95">
        <v>43873</v>
      </c>
      <c r="B46" s="66" t="s">
        <v>53</v>
      </c>
      <c r="C46" s="131" t="s">
        <v>107</v>
      </c>
      <c r="D46" s="131" t="s">
        <v>29</v>
      </c>
      <c r="E46" s="61">
        <v>200</v>
      </c>
      <c r="F46" s="61">
        <v>200</v>
      </c>
      <c r="G46" s="61">
        <f>Data[[#This Row],[Qty Delivered]]-Data[[#This Row],[Qty Sold]]</f>
        <v>0</v>
      </c>
      <c r="H46" s="130">
        <v>1870</v>
      </c>
      <c r="I46" s="130">
        <f>(Data[[#This Row],[Gross]]*13%)+(Data[[#This Row],[Gross]]*13%)*15%+23</f>
        <v>302.565</v>
      </c>
      <c r="J46" s="129">
        <f>Data[[#This Row],[Gross]]-Data[[#This Row],[Deduction]]</f>
        <v>1567.4349999999999</v>
      </c>
    </row>
    <row r="47" spans="1:10">
      <c r="A47" s="95">
        <v>43873</v>
      </c>
      <c r="B47" s="66" t="s">
        <v>53</v>
      </c>
      <c r="C47" s="131" t="s">
        <v>107</v>
      </c>
      <c r="D47" s="131" t="s">
        <v>30</v>
      </c>
      <c r="E47" s="61">
        <v>179</v>
      </c>
      <c r="F47" s="61">
        <v>179</v>
      </c>
      <c r="G47" s="61">
        <f>Data[[#This Row],[Qty Delivered]]-Data[[#This Row],[Qty Sold]]</f>
        <v>0</v>
      </c>
      <c r="H47" s="130">
        <v>4475</v>
      </c>
      <c r="I47" s="130">
        <f>(Data[[#This Row],[Gross]]*13%)+(Data[[#This Row],[Gross]]*13%)*15%+23</f>
        <v>692.01250000000005</v>
      </c>
      <c r="J47" s="129">
        <f>Data[[#This Row],[Gross]]-Data[[#This Row],[Deduction]]</f>
        <v>3782.9875000000002</v>
      </c>
    </row>
    <row r="48" spans="1:10">
      <c r="A48" s="95">
        <v>43874</v>
      </c>
      <c r="B48" s="95" t="s">
        <v>53</v>
      </c>
      <c r="C48" s="131" t="s">
        <v>33</v>
      </c>
      <c r="D48" s="161" t="s">
        <v>29</v>
      </c>
      <c r="E48" s="62">
        <v>100</v>
      </c>
      <c r="F48" s="62">
        <v>12</v>
      </c>
      <c r="G48" s="62">
        <f>Data[[#This Row],[Qty Delivered]]-Data[[#This Row],[Qty Sold]]</f>
        <v>88</v>
      </c>
      <c r="H48" s="132">
        <v>460</v>
      </c>
      <c r="I48" s="130">
        <f>(Data[[#This Row],[Gross]]*13%)+(Data[[#This Row],[Gross]]*13%)*15%+23</f>
        <v>91.77000000000001</v>
      </c>
      <c r="J48" s="129">
        <f>Data[[#This Row],[Gross]]-Data[[#This Row],[Deduction]]</f>
        <v>368.23</v>
      </c>
    </row>
    <row r="49" spans="1:10">
      <c r="A49" s="95">
        <v>43874</v>
      </c>
      <c r="B49" s="95" t="s">
        <v>53</v>
      </c>
      <c r="C49" s="131" t="s">
        <v>33</v>
      </c>
      <c r="D49" s="131" t="s">
        <v>30</v>
      </c>
      <c r="E49" s="61">
        <v>195</v>
      </c>
      <c r="F49" s="62">
        <v>195</v>
      </c>
      <c r="G49" s="61">
        <f>Data[[#This Row],[Qty Delivered]]-Data[[#This Row],[Qty Sold]]</f>
        <v>0</v>
      </c>
      <c r="H49" s="130">
        <v>6140</v>
      </c>
      <c r="I49" s="130">
        <f>(Data[[#This Row],[Gross]]*13%)+(Data[[#This Row],[Gross]]*13%)*15%+23</f>
        <v>940.93000000000006</v>
      </c>
      <c r="J49" s="129">
        <f>Data[[#This Row],[Gross]]-Data[[#This Row],[Deduction]]</f>
        <v>5199.07</v>
      </c>
    </row>
    <row r="50" spans="1:10">
      <c r="A50" s="95">
        <v>43880</v>
      </c>
      <c r="B50" s="66" t="s">
        <v>53</v>
      </c>
      <c r="C50" s="131" t="s">
        <v>108</v>
      </c>
      <c r="D50" s="131" t="s">
        <v>29</v>
      </c>
      <c r="E50" s="61">
        <v>100</v>
      </c>
      <c r="F50" s="61">
        <v>100</v>
      </c>
      <c r="G50" s="61">
        <f>Data[[#This Row],[Qty Delivered]]-Data[[#This Row],[Qty Sold]]</f>
        <v>0</v>
      </c>
      <c r="H50" s="130">
        <v>2260</v>
      </c>
      <c r="I50" s="130">
        <f>(Data[[#This Row],[Gross]]*13%)+(Data[[#This Row],[Gross]]*13%)*15%+23</f>
        <v>360.87</v>
      </c>
      <c r="J50" s="129">
        <f>Data[[#This Row],[Gross]]-Data[[#This Row],[Deduction]]</f>
        <v>1899.13</v>
      </c>
    </row>
    <row r="51" spans="1:10">
      <c r="A51" s="95">
        <v>43877</v>
      </c>
      <c r="B51" s="95" t="s">
        <v>53</v>
      </c>
      <c r="C51" s="131" t="s">
        <v>33</v>
      </c>
      <c r="D51" s="161" t="s">
        <v>29</v>
      </c>
      <c r="E51" s="62">
        <v>300</v>
      </c>
      <c r="F51" s="62">
        <v>300</v>
      </c>
      <c r="G51" s="62">
        <f>Data[[#This Row],[Qty Delivered]]-Data[[#This Row],[Qty Sold]]</f>
        <v>0</v>
      </c>
      <c r="H51" s="132">
        <v>6400</v>
      </c>
      <c r="I51" s="130">
        <f>(Data[[#This Row],[Gross]]*13%)+(Data[[#This Row],[Gross]]*13%)*15%+23</f>
        <v>979.8</v>
      </c>
      <c r="J51" s="129">
        <f>Data[[#This Row],[Gross]]-Data[[#This Row],[Deduction]]</f>
        <v>5420.2</v>
      </c>
    </row>
    <row r="52" spans="1:10">
      <c r="A52" s="66">
        <v>43877</v>
      </c>
      <c r="B52" s="95" t="s">
        <v>53</v>
      </c>
      <c r="C52" s="131" t="s">
        <v>33</v>
      </c>
      <c r="D52" s="131" t="s">
        <v>30</v>
      </c>
      <c r="E52" s="61">
        <v>211</v>
      </c>
      <c r="F52" s="62">
        <v>211</v>
      </c>
      <c r="G52" s="61">
        <f>Data[[#This Row],[Qty Delivered]]-Data[[#This Row],[Qty Sold]]</f>
        <v>0</v>
      </c>
      <c r="H52" s="130">
        <v>6380</v>
      </c>
      <c r="I52" s="130">
        <f>(Data[[#This Row],[Gross]]*13%)+(Data[[#This Row],[Gross]]*13%)*15%+23</f>
        <v>976.81</v>
      </c>
      <c r="J52" s="129">
        <f>Data[[#This Row],[Gross]]-Data[[#This Row],[Deduction]]</f>
        <v>5403.1900000000005</v>
      </c>
    </row>
    <row r="53" spans="1:10">
      <c r="A53" s="66">
        <v>43877</v>
      </c>
      <c r="B53" s="95" t="s">
        <v>53</v>
      </c>
      <c r="C53" s="131" t="s">
        <v>33</v>
      </c>
      <c r="D53" s="131" t="s">
        <v>30</v>
      </c>
      <c r="E53" s="61">
        <v>50</v>
      </c>
      <c r="F53" s="62">
        <v>50</v>
      </c>
      <c r="G53" s="61">
        <f>Data[[#This Row],[Qty Delivered]]-Data[[#This Row],[Qty Sold]]</f>
        <v>0</v>
      </c>
      <c r="H53" s="130">
        <v>2585</v>
      </c>
      <c r="I53" s="130">
        <f>(Data[[#This Row],[Gross]]*13%)+(Data[[#This Row],[Gross]]*13%)*15%+23</f>
        <v>409.45749999999998</v>
      </c>
      <c r="J53" s="129">
        <f>Data[[#This Row],[Gross]]-Data[[#This Row],[Deduction]]</f>
        <v>2175.5425</v>
      </c>
    </row>
    <row r="54" spans="1:10">
      <c r="A54" s="66">
        <v>43878</v>
      </c>
      <c r="B54" s="95" t="s">
        <v>53</v>
      </c>
      <c r="C54" s="131" t="s">
        <v>33</v>
      </c>
      <c r="D54" s="131" t="s">
        <v>10</v>
      </c>
      <c r="E54" s="61">
        <v>216</v>
      </c>
      <c r="F54" s="62">
        <v>216</v>
      </c>
      <c r="G54" s="61">
        <f>Data[[#This Row],[Qty Delivered]]-Data[[#This Row],[Qty Sold]]</f>
        <v>0</v>
      </c>
      <c r="H54" s="130">
        <v>10205</v>
      </c>
      <c r="I54" s="130">
        <f>(Data[[#This Row],[Gross]]*13%)+(Data[[#This Row],[Gross]]*13%)*15%+23</f>
        <v>1548.6475</v>
      </c>
      <c r="J54" s="129">
        <f>Data[[#This Row],[Gross]]-Data[[#This Row],[Deduction]]</f>
        <v>8656.3525000000009</v>
      </c>
    </row>
    <row r="55" spans="1:10">
      <c r="A55" s="66">
        <v>43879</v>
      </c>
      <c r="B55" s="95" t="s">
        <v>53</v>
      </c>
      <c r="C55" s="131" t="s">
        <v>33</v>
      </c>
      <c r="D55" s="131" t="s">
        <v>10</v>
      </c>
      <c r="E55" s="61">
        <v>296</v>
      </c>
      <c r="F55" s="62">
        <v>296</v>
      </c>
      <c r="G55" s="61">
        <f>Data[[#This Row],[Qty Delivered]]-Data[[#This Row],[Qty Sold]]</f>
        <v>0</v>
      </c>
      <c r="H55" s="130">
        <v>12925</v>
      </c>
      <c r="I55" s="130">
        <f>(Data[[#This Row],[Gross]]*13%)+(Data[[#This Row],[Gross]]*13%)*15%+23</f>
        <v>1955.2874999999999</v>
      </c>
      <c r="J55" s="129">
        <f>Data[[#This Row],[Gross]]-Data[[#This Row],[Deduction]]</f>
        <v>10969.7125</v>
      </c>
    </row>
    <row r="56" spans="1:10">
      <c r="A56" s="66">
        <v>43880</v>
      </c>
      <c r="B56" s="95" t="s">
        <v>53</v>
      </c>
      <c r="C56" s="131" t="s">
        <v>33</v>
      </c>
      <c r="D56" s="131" t="s">
        <v>10</v>
      </c>
      <c r="E56" s="61">
        <v>100</v>
      </c>
      <c r="F56" s="62">
        <v>100</v>
      </c>
      <c r="G56" s="61">
        <f>Data[[#This Row],[Qty Delivered]]-Data[[#This Row],[Qty Sold]]</f>
        <v>0</v>
      </c>
      <c r="H56" s="130">
        <v>2495</v>
      </c>
      <c r="I56" s="130">
        <f>(Data[[#This Row],[Gross]]*13%)+(Data[[#This Row],[Gross]]*13%)*15%+23</f>
        <v>396.00250000000005</v>
      </c>
      <c r="J56" s="129">
        <f>Data[[#This Row],[Gross]]-Data[[#This Row],[Deduction]]</f>
        <v>2098.9974999999999</v>
      </c>
    </row>
    <row r="57" spans="1:10">
      <c r="A57" s="66">
        <v>43880</v>
      </c>
      <c r="B57" s="66" t="s">
        <v>53</v>
      </c>
      <c r="C57" s="131" t="s">
        <v>107</v>
      </c>
      <c r="D57" s="131" t="s">
        <v>29</v>
      </c>
      <c r="E57" s="61">
        <v>100</v>
      </c>
      <c r="F57" s="61">
        <v>100</v>
      </c>
      <c r="G57" s="61">
        <f>Data[[#This Row],[Qty Delivered]]-Data[[#This Row],[Qty Sold]]</f>
        <v>0</v>
      </c>
      <c r="H57" s="130">
        <v>1080</v>
      </c>
      <c r="I57" s="130">
        <f>(Data[[#This Row],[Gross]]*13%)+(Data[[#This Row],[Gross]]*13%)*15%+23</f>
        <v>184.46</v>
      </c>
      <c r="J57" s="129">
        <f>Data[[#This Row],[Gross]]-Data[[#This Row],[Deduction]]</f>
        <v>895.54</v>
      </c>
    </row>
    <row r="58" spans="1:10">
      <c r="A58" s="66">
        <v>43881</v>
      </c>
      <c r="B58" s="95" t="s">
        <v>53</v>
      </c>
      <c r="C58" s="131" t="s">
        <v>33</v>
      </c>
      <c r="D58" s="131" t="s">
        <v>10</v>
      </c>
      <c r="E58" s="61">
        <v>112</v>
      </c>
      <c r="F58" s="61">
        <v>17</v>
      </c>
      <c r="G58" s="61">
        <f>Data[[#This Row],[Qty Delivered]]-Data[[#This Row],[Qty Sold]]</f>
        <v>95</v>
      </c>
      <c r="H58" s="130">
        <v>380</v>
      </c>
      <c r="I58" s="130">
        <f>(Data[[#This Row],[Gross]]*13%)+(Data[[#This Row],[Gross]]*13%)*15%+23</f>
        <v>79.81</v>
      </c>
      <c r="J58" s="129">
        <f>Data[[#This Row],[Gross]]-Data[[#This Row],[Deduction]]</f>
        <v>300.19</v>
      </c>
    </row>
    <row r="59" spans="1:10">
      <c r="A59" s="66">
        <v>43881</v>
      </c>
      <c r="B59" s="95" t="s">
        <v>53</v>
      </c>
      <c r="C59" s="131" t="s">
        <v>33</v>
      </c>
      <c r="D59" s="131" t="s">
        <v>30</v>
      </c>
      <c r="E59" s="61">
        <v>210</v>
      </c>
      <c r="F59" s="62">
        <v>210</v>
      </c>
      <c r="G59" s="61">
        <f>Data[[#This Row],[Qty Delivered]]-Data[[#This Row],[Qty Sold]]</f>
        <v>0</v>
      </c>
      <c r="H59" s="130">
        <v>6645</v>
      </c>
      <c r="I59" s="130">
        <f>(Data[[#This Row],[Gross]]*13%)+(Data[[#This Row],[Gross]]*13%)*15%+23</f>
        <v>1016.4275</v>
      </c>
      <c r="J59" s="129">
        <f>Data[[#This Row],[Gross]]-Data[[#This Row],[Deduction]]</f>
        <v>5628.5725000000002</v>
      </c>
    </row>
    <row r="60" spans="1:10">
      <c r="A60" s="95">
        <v>43881</v>
      </c>
      <c r="B60" s="95" t="s">
        <v>53</v>
      </c>
      <c r="C60" s="131" t="s">
        <v>33</v>
      </c>
      <c r="D60" s="161" t="s">
        <v>29</v>
      </c>
      <c r="E60" s="62">
        <v>152</v>
      </c>
      <c r="F60" s="62">
        <v>70</v>
      </c>
      <c r="G60" s="62">
        <f>Data[[#This Row],[Qty Delivered]]-Data[[#This Row],[Qty Sold]]</f>
        <v>82</v>
      </c>
      <c r="H60" s="132">
        <v>1885</v>
      </c>
      <c r="I60" s="130">
        <f>(Data[[#This Row],[Gross]]*13%)+(Data[[#This Row],[Gross]]*13%)*15%+23</f>
        <v>304.8075</v>
      </c>
      <c r="J60" s="129">
        <f>Data[[#This Row],[Gross]]-Data[[#This Row],[Deduction]]</f>
        <v>1580.1925000000001</v>
      </c>
    </row>
    <row r="61" spans="1:10">
      <c r="A61" s="95">
        <v>43881</v>
      </c>
      <c r="B61" s="95" t="s">
        <v>53</v>
      </c>
      <c r="C61" s="131" t="s">
        <v>33</v>
      </c>
      <c r="D61" s="131" t="s">
        <v>10</v>
      </c>
      <c r="E61" s="61">
        <v>102</v>
      </c>
      <c r="F61" s="62">
        <v>102</v>
      </c>
      <c r="G61" s="61">
        <f>Data[[#This Row],[Qty Delivered]]-Data[[#This Row],[Qty Sold]]</f>
        <v>0</v>
      </c>
      <c r="H61" s="130">
        <v>3220</v>
      </c>
      <c r="I61" s="130">
        <f>(Data[[#This Row],[Gross]]*13%)+(Data[[#This Row],[Gross]]*13%)*15%+23</f>
        <v>504.39000000000004</v>
      </c>
      <c r="J61" s="129">
        <f>Data[[#This Row],[Gross]]-Data[[#This Row],[Deduction]]</f>
        <v>2715.61</v>
      </c>
    </row>
    <row r="62" spans="1:10">
      <c r="A62" s="66">
        <v>43882</v>
      </c>
      <c r="B62" s="95" t="s">
        <v>53</v>
      </c>
      <c r="C62" s="131" t="s">
        <v>33</v>
      </c>
      <c r="D62" s="131" t="s">
        <v>10</v>
      </c>
      <c r="E62" s="61">
        <v>158</v>
      </c>
      <c r="F62" s="61">
        <v>97</v>
      </c>
      <c r="G62" s="61">
        <f>Data[[#This Row],[Qty Delivered]]-Data[[#This Row],[Qty Sold]]</f>
        <v>61</v>
      </c>
      <c r="H62" s="130">
        <v>2795</v>
      </c>
      <c r="I62" s="130">
        <f>(Data[[#This Row],[Gross]]*13%)+(Data[[#This Row],[Gross]]*13%)*15%+23</f>
        <v>440.85250000000002</v>
      </c>
      <c r="J62" s="129">
        <f>Data[[#This Row],[Gross]]-Data[[#This Row],[Deduction]]</f>
        <v>2354.1475</v>
      </c>
    </row>
    <row r="63" spans="1:10">
      <c r="A63" s="66">
        <v>43882</v>
      </c>
      <c r="B63" s="95" t="s">
        <v>53</v>
      </c>
      <c r="C63" s="131" t="s">
        <v>33</v>
      </c>
      <c r="D63" s="131" t="s">
        <v>30</v>
      </c>
      <c r="E63" s="61">
        <v>185</v>
      </c>
      <c r="F63" s="61">
        <v>49</v>
      </c>
      <c r="G63" s="61">
        <f>Data[[#This Row],[Qty Delivered]]-Data[[#This Row],[Qty Sold]]</f>
        <v>136</v>
      </c>
      <c r="H63" s="130">
        <v>1345</v>
      </c>
      <c r="I63" s="130">
        <f>(Data[[#This Row],[Gross]]*13%)+(Data[[#This Row],[Gross]]*13%)*15%+23</f>
        <v>224.07749999999999</v>
      </c>
      <c r="J63" s="129">
        <f>Data[[#This Row],[Gross]]-Data[[#This Row],[Deduction]]</f>
        <v>1120.9225000000001</v>
      </c>
    </row>
    <row r="64" spans="1:10">
      <c r="A64" s="66">
        <v>43882</v>
      </c>
      <c r="B64" s="95" t="s">
        <v>53</v>
      </c>
      <c r="C64" s="131" t="s">
        <v>33</v>
      </c>
      <c r="D64" s="131" t="s">
        <v>10</v>
      </c>
      <c r="E64" s="61">
        <v>114</v>
      </c>
      <c r="F64" s="61">
        <v>114</v>
      </c>
      <c r="G64" s="61">
        <f>Data[[#This Row],[Qty Delivered]]-Data[[#This Row],[Qty Sold]]</f>
        <v>0</v>
      </c>
      <c r="H64" s="130">
        <v>3425</v>
      </c>
      <c r="I64" s="130">
        <f>(Data[[#This Row],[Gross]]*13%)+(Data[[#This Row],[Gross]]*13%)*15%+23</f>
        <v>535.03750000000002</v>
      </c>
      <c r="J64" s="129">
        <f>Data[[#This Row],[Gross]]-Data[[#This Row],[Deduction]]</f>
        <v>2889.9625000000001</v>
      </c>
    </row>
    <row r="65" spans="1:10">
      <c r="A65" s="66">
        <v>43882</v>
      </c>
      <c r="B65" s="95" t="s">
        <v>53</v>
      </c>
      <c r="C65" s="131" t="s">
        <v>33</v>
      </c>
      <c r="D65" s="131" t="s">
        <v>30</v>
      </c>
      <c r="E65" s="61">
        <v>6</v>
      </c>
      <c r="F65" s="62">
        <v>6</v>
      </c>
      <c r="G65" s="61">
        <f>Data[[#This Row],[Qty Delivered]]-Data[[#This Row],[Qty Sold]]</f>
        <v>0</v>
      </c>
      <c r="H65" s="130">
        <v>180</v>
      </c>
      <c r="I65" s="130">
        <f>(Data[[#This Row],[Gross]]*13%)+(Data[[#This Row],[Gross]]*13%)*15%+23</f>
        <v>49.910000000000004</v>
      </c>
      <c r="J65" s="129">
        <f>Data[[#This Row],[Gross]]-Data[[#This Row],[Deduction]]</f>
        <v>130.09</v>
      </c>
    </row>
    <row r="66" spans="1:10">
      <c r="A66" s="66">
        <v>43884</v>
      </c>
      <c r="B66" s="95" t="s">
        <v>53</v>
      </c>
      <c r="C66" s="131" t="s">
        <v>33</v>
      </c>
      <c r="D66" s="131" t="s">
        <v>10</v>
      </c>
      <c r="E66" s="61">
        <v>312</v>
      </c>
      <c r="F66" s="62">
        <v>273</v>
      </c>
      <c r="G66" s="61">
        <f>Data[[#This Row],[Qty Delivered]]-Data[[#This Row],[Qty Sold]]</f>
        <v>39</v>
      </c>
      <c r="H66" s="130">
        <v>8532</v>
      </c>
      <c r="I66" s="130">
        <f>(Data[[#This Row],[Gross]]*13%)+(Data[[#This Row],[Gross]]*13%)*15%+23</f>
        <v>1298.5340000000001</v>
      </c>
      <c r="J66" s="129">
        <f>Data[[#This Row],[Gross]]-Data[[#This Row],[Deduction]]</f>
        <v>7233.4660000000003</v>
      </c>
    </row>
    <row r="67" spans="1:10">
      <c r="A67" s="66">
        <v>43885</v>
      </c>
      <c r="B67" s="95" t="s">
        <v>53</v>
      </c>
      <c r="C67" s="131" t="s">
        <v>33</v>
      </c>
      <c r="D67" s="131" t="s">
        <v>10</v>
      </c>
      <c r="E67" s="61">
        <v>220</v>
      </c>
      <c r="F67" s="62">
        <v>220</v>
      </c>
      <c r="G67" s="61">
        <f>Data[[#This Row],[Qty Delivered]]-Data[[#This Row],[Qty Sold]]</f>
        <v>0</v>
      </c>
      <c r="H67" s="130">
        <v>4572</v>
      </c>
      <c r="I67" s="130">
        <f>(Data[[#This Row],[Gross]]*13%)+(Data[[#This Row],[Gross]]*13%)*15%+23</f>
        <v>706.51400000000001</v>
      </c>
      <c r="J67" s="129">
        <f>Data[[#This Row],[Gross]]-Data[[#This Row],[Deduction]]</f>
        <v>3865.4859999999999</v>
      </c>
    </row>
    <row r="68" spans="1:10">
      <c r="A68" s="95">
        <v>43885</v>
      </c>
      <c r="B68" s="95" t="s">
        <v>53</v>
      </c>
      <c r="C68" s="131" t="s">
        <v>33</v>
      </c>
      <c r="D68" s="161" t="s">
        <v>29</v>
      </c>
      <c r="E68" s="62">
        <v>257</v>
      </c>
      <c r="F68" s="62">
        <v>257</v>
      </c>
      <c r="G68" s="62">
        <f>Data[[#This Row],[Qty Delivered]]-Data[[#This Row],[Qty Sold]]</f>
        <v>0</v>
      </c>
      <c r="H68" s="132">
        <v>6648</v>
      </c>
      <c r="I68" s="130">
        <f>(Data[[#This Row],[Gross]]*13%)+(Data[[#This Row],[Gross]]*13%)*15%+23</f>
        <v>1016.876</v>
      </c>
      <c r="J68" s="129">
        <f>Data[[#This Row],[Gross]]-Data[[#This Row],[Deduction]]</f>
        <v>5631.1239999999998</v>
      </c>
    </row>
    <row r="69" spans="1:10">
      <c r="A69" s="66">
        <v>43886</v>
      </c>
      <c r="B69" s="95" t="s">
        <v>53</v>
      </c>
      <c r="C69" s="131" t="s">
        <v>33</v>
      </c>
      <c r="D69" s="131" t="s">
        <v>30</v>
      </c>
      <c r="E69" s="61">
        <v>550</v>
      </c>
      <c r="F69" s="62">
        <v>429</v>
      </c>
      <c r="G69" s="61">
        <f>Data[[#This Row],[Qty Delivered]]-Data[[#This Row],[Qty Sold]]</f>
        <v>121</v>
      </c>
      <c r="H69" s="130">
        <v>10885</v>
      </c>
      <c r="I69" s="130">
        <f>(Data[[#This Row],[Gross]]*13%)+(Data[[#This Row],[Gross]]*13%)*15%+23</f>
        <v>1650.3074999999999</v>
      </c>
      <c r="J69" s="129">
        <f>Data[[#This Row],[Gross]]-Data[[#This Row],[Deduction]]</f>
        <v>9234.692500000001</v>
      </c>
    </row>
    <row r="70" spans="1:10">
      <c r="A70" s="66">
        <v>43886</v>
      </c>
      <c r="B70" s="95" t="s">
        <v>53</v>
      </c>
      <c r="C70" s="131" t="s">
        <v>33</v>
      </c>
      <c r="D70" s="161" t="s">
        <v>29</v>
      </c>
      <c r="E70" s="62">
        <v>20</v>
      </c>
      <c r="F70" s="62">
        <v>20</v>
      </c>
      <c r="G70" s="62">
        <f>Data[[#This Row],[Qty Delivered]]-Data[[#This Row],[Qty Sold]]</f>
        <v>0</v>
      </c>
      <c r="H70" s="132">
        <v>615</v>
      </c>
      <c r="I70" s="130">
        <f>(Data[[#This Row],[Gross]]*13%)+(Data[[#This Row],[Gross]]*13%)*15%+23</f>
        <v>114.9425</v>
      </c>
      <c r="J70" s="129">
        <f>Data[[#This Row],[Gross]]-Data[[#This Row],[Deduction]]</f>
        <v>500.0575</v>
      </c>
    </row>
    <row r="71" spans="1:10">
      <c r="A71" s="66">
        <v>43886</v>
      </c>
      <c r="B71" s="95" t="s">
        <v>53</v>
      </c>
      <c r="C71" s="131" t="s">
        <v>33</v>
      </c>
      <c r="D71" s="131" t="s">
        <v>10</v>
      </c>
      <c r="E71" s="61">
        <v>65</v>
      </c>
      <c r="F71" s="62">
        <v>65</v>
      </c>
      <c r="G71" s="61">
        <f>Data[[#This Row],[Qty Delivered]]-Data[[#This Row],[Qty Sold]]</f>
        <v>0</v>
      </c>
      <c r="H71" s="130">
        <v>2320</v>
      </c>
      <c r="I71" s="130">
        <f>(Data[[#This Row],[Gross]]*13%)+(Data[[#This Row],[Gross]]*13%)*15%+23</f>
        <v>369.84000000000003</v>
      </c>
      <c r="J71" s="129">
        <f>Data[[#This Row],[Gross]]-Data[[#This Row],[Deduction]]</f>
        <v>1950.1599999999999</v>
      </c>
    </row>
    <row r="72" spans="1:10">
      <c r="A72" s="95">
        <v>43886</v>
      </c>
      <c r="B72" s="95" t="s">
        <v>53</v>
      </c>
      <c r="C72" s="131" t="s">
        <v>33</v>
      </c>
      <c r="D72" s="161" t="s">
        <v>29</v>
      </c>
      <c r="E72" s="62">
        <v>106</v>
      </c>
      <c r="F72" s="62">
        <v>106</v>
      </c>
      <c r="G72" s="62">
        <f>Data[[#This Row],[Qty Delivered]]-Data[[#This Row],[Qty Sold]]</f>
        <v>0</v>
      </c>
      <c r="H72" s="132">
        <v>2665</v>
      </c>
      <c r="I72" s="130">
        <f>(Data[[#This Row],[Gross]]*13%)+(Data[[#This Row],[Gross]]*13%)*15%+23</f>
        <v>421.41749999999996</v>
      </c>
      <c r="J72" s="129">
        <f>Data[[#This Row],[Gross]]-Data[[#This Row],[Deduction]]</f>
        <v>2243.5825</v>
      </c>
    </row>
    <row r="73" spans="1:10">
      <c r="A73" s="95">
        <v>43886</v>
      </c>
      <c r="B73" s="95" t="s">
        <v>53</v>
      </c>
      <c r="C73" s="131" t="s">
        <v>33</v>
      </c>
      <c r="D73" s="131" t="s">
        <v>30</v>
      </c>
      <c r="E73" s="61">
        <v>203</v>
      </c>
      <c r="F73" s="62">
        <v>91</v>
      </c>
      <c r="G73" s="61">
        <f>Data[[#This Row],[Qty Delivered]]-Data[[#This Row],[Qty Sold]]</f>
        <v>112</v>
      </c>
      <c r="H73" s="130">
        <v>2010</v>
      </c>
      <c r="I73" s="130">
        <f>(Data[[#This Row],[Gross]]*13%)+(Data[[#This Row],[Gross]]*13%)*15%+23</f>
        <v>323.495</v>
      </c>
      <c r="J73" s="129">
        <f>Data[[#This Row],[Gross]]-Data[[#This Row],[Deduction]]</f>
        <v>1686.5050000000001</v>
      </c>
    </row>
    <row r="74" spans="1:10">
      <c r="A74" s="66">
        <v>43887</v>
      </c>
      <c r="B74" s="95" t="s">
        <v>53</v>
      </c>
      <c r="C74" s="131" t="s">
        <v>33</v>
      </c>
      <c r="D74" s="131" t="s">
        <v>10</v>
      </c>
      <c r="E74" s="61">
        <v>142</v>
      </c>
      <c r="F74" s="62">
        <v>83</v>
      </c>
      <c r="G74" s="61">
        <f>Data[[#This Row],[Qty Delivered]]-Data[[#This Row],[Qty Sold]]</f>
        <v>59</v>
      </c>
      <c r="H74" s="130">
        <v>3045</v>
      </c>
      <c r="I74" s="130">
        <f>(Data[[#This Row],[Gross]]*13%)+(Data[[#This Row],[Gross]]*13%)*15%+23</f>
        <v>478.22750000000002</v>
      </c>
      <c r="J74" s="129">
        <f>Data[[#This Row],[Gross]]-Data[[#This Row],[Deduction]]</f>
        <v>2566.7725</v>
      </c>
    </row>
    <row r="75" spans="1:10">
      <c r="A75" s="66">
        <v>43887</v>
      </c>
      <c r="B75" s="95" t="s">
        <v>53</v>
      </c>
      <c r="C75" s="131" t="s">
        <v>33</v>
      </c>
      <c r="D75" s="161" t="s">
        <v>29</v>
      </c>
      <c r="E75" s="62">
        <v>44</v>
      </c>
      <c r="F75" s="62">
        <v>44</v>
      </c>
      <c r="G75" s="62">
        <f>Data[[#This Row],[Qty Delivered]]-Data[[#This Row],[Qty Sold]]</f>
        <v>0</v>
      </c>
      <c r="H75" s="132">
        <v>973</v>
      </c>
      <c r="I75" s="130">
        <f>(Data[[#This Row],[Gross]]*13%)+(Data[[#This Row],[Gross]]*13%)*15%+23</f>
        <v>168.46350000000001</v>
      </c>
      <c r="J75" s="129">
        <f>Data[[#This Row],[Gross]]-Data[[#This Row],[Deduction]]</f>
        <v>804.53649999999993</v>
      </c>
    </row>
    <row r="76" spans="1:10">
      <c r="A76" s="66">
        <v>43887</v>
      </c>
      <c r="B76" s="95" t="s">
        <v>53</v>
      </c>
      <c r="C76" s="131" t="s">
        <v>33</v>
      </c>
      <c r="D76" s="131" t="s">
        <v>30</v>
      </c>
      <c r="E76" s="61">
        <v>140</v>
      </c>
      <c r="F76" s="62">
        <v>140</v>
      </c>
      <c r="G76" s="61">
        <f>Data[[#This Row],[Qty Delivered]]-Data[[#This Row],[Qty Sold]]</f>
        <v>0</v>
      </c>
      <c r="H76" s="130">
        <v>2600</v>
      </c>
      <c r="I76" s="130">
        <f>(Data[[#This Row],[Gross]]*13%)+(Data[[#This Row],[Gross]]*13%)*15%+23</f>
        <v>411.7</v>
      </c>
      <c r="J76" s="129">
        <f>Data[[#This Row],[Gross]]-Data[[#This Row],[Deduction]]</f>
        <v>2188.3000000000002</v>
      </c>
    </row>
    <row r="77" spans="1:10">
      <c r="A77" s="66">
        <v>43888</v>
      </c>
      <c r="B77" s="95" t="s">
        <v>53</v>
      </c>
      <c r="C77" s="131" t="s">
        <v>33</v>
      </c>
      <c r="D77" s="131" t="s">
        <v>10</v>
      </c>
      <c r="E77" s="61">
        <v>177</v>
      </c>
      <c r="F77" s="61">
        <v>177</v>
      </c>
      <c r="G77" s="61">
        <f>Data[[#This Row],[Qty Delivered]]-Data[[#This Row],[Qty Sold]]</f>
        <v>0</v>
      </c>
      <c r="H77" s="130">
        <v>3009</v>
      </c>
      <c r="I77" s="130">
        <f>(Data[[#This Row],[Gross]]*13%)+(Data[[#This Row],[Gross]]*13%)*15%+23</f>
        <v>472.84550000000002</v>
      </c>
      <c r="J77" s="129">
        <f>Data[[#This Row],[Gross]]-Data[[#This Row],[Deduction]]</f>
        <v>2536.1545000000001</v>
      </c>
    </row>
    <row r="78" spans="1:10">
      <c r="A78" s="66">
        <v>43888</v>
      </c>
      <c r="B78" s="95" t="s">
        <v>53</v>
      </c>
      <c r="C78" s="131" t="s">
        <v>33</v>
      </c>
      <c r="D78" s="161" t="s">
        <v>29</v>
      </c>
      <c r="E78" s="62">
        <v>16</v>
      </c>
      <c r="F78" s="62">
        <v>16</v>
      </c>
      <c r="G78" s="62">
        <f>Data[[#This Row],[Qty Delivered]]-Data[[#This Row],[Qty Sold]]</f>
        <v>0</v>
      </c>
      <c r="H78" s="132">
        <v>325</v>
      </c>
      <c r="I78" s="130">
        <f>(Data[[#This Row],[Gross]]*13%)+(Data[[#This Row],[Gross]]*13%)*15%+23</f>
        <v>71.587500000000006</v>
      </c>
      <c r="J78" s="129">
        <f>Data[[#This Row],[Gross]]-Data[[#This Row],[Deduction]]</f>
        <v>253.41249999999999</v>
      </c>
    </row>
    <row r="79" spans="1:10">
      <c r="A79" s="66">
        <v>43888</v>
      </c>
      <c r="B79" s="95" t="s">
        <v>53</v>
      </c>
      <c r="C79" s="131" t="s">
        <v>33</v>
      </c>
      <c r="D79" s="131" t="s">
        <v>30</v>
      </c>
      <c r="E79" s="61">
        <v>170</v>
      </c>
      <c r="F79" s="62">
        <v>170</v>
      </c>
      <c r="G79" s="61">
        <f>Data[[#This Row],[Qty Delivered]]-Data[[#This Row],[Qty Sold]]</f>
        <v>0</v>
      </c>
      <c r="H79" s="130">
        <v>3415</v>
      </c>
      <c r="I79" s="130">
        <f>(Data[[#This Row],[Gross]]*13%)+(Data[[#This Row],[Gross]]*13%)*15%+23</f>
        <v>533.54250000000002</v>
      </c>
      <c r="J79" s="129">
        <f>Data[[#This Row],[Gross]]-Data[[#This Row],[Deduction]]</f>
        <v>2881.4575</v>
      </c>
    </row>
    <row r="80" spans="1:10">
      <c r="A80" s="66">
        <v>43889</v>
      </c>
      <c r="B80" s="95" t="s">
        <v>53</v>
      </c>
      <c r="C80" s="131" t="s">
        <v>33</v>
      </c>
      <c r="D80" s="131" t="s">
        <v>10</v>
      </c>
      <c r="E80" s="61">
        <v>287</v>
      </c>
      <c r="F80" s="61">
        <v>287</v>
      </c>
      <c r="G80" s="61">
        <f>Data[[#This Row],[Qty Delivered]]-Data[[#This Row],[Qty Sold]]</f>
        <v>0</v>
      </c>
      <c r="H80" s="130">
        <v>5865</v>
      </c>
      <c r="I80" s="130">
        <f>(Data[[#This Row],[Gross]]*13%)+(Data[[#This Row],[Gross]]*13%)*15%+23</f>
        <v>899.81750000000011</v>
      </c>
      <c r="J80" s="129">
        <f>Data[[#This Row],[Gross]]-Data[[#This Row],[Deduction]]</f>
        <v>4965.1824999999999</v>
      </c>
    </row>
    <row r="81" spans="1:10">
      <c r="A81" s="66">
        <v>43889</v>
      </c>
      <c r="B81" s="95" t="s">
        <v>53</v>
      </c>
      <c r="C81" s="131" t="s">
        <v>33</v>
      </c>
      <c r="D81" s="161" t="s">
        <v>29</v>
      </c>
      <c r="E81" s="62">
        <v>21</v>
      </c>
      <c r="F81" s="62">
        <v>21</v>
      </c>
      <c r="G81" s="62">
        <f>Data[[#This Row],[Qty Delivered]]-Data[[#This Row],[Qty Sold]]</f>
        <v>0</v>
      </c>
      <c r="H81" s="132">
        <v>520</v>
      </c>
      <c r="I81" s="130">
        <f>(Data[[#This Row],[Gross]]*13%)+(Data[[#This Row],[Gross]]*13%)*15%+23</f>
        <v>100.74000000000001</v>
      </c>
      <c r="J81" s="129">
        <f>Data[[#This Row],[Gross]]-Data[[#This Row],[Deduction]]</f>
        <v>419.26</v>
      </c>
    </row>
    <row r="82" spans="1:10">
      <c r="A82" s="66">
        <v>43889</v>
      </c>
      <c r="B82" s="95" t="s">
        <v>53</v>
      </c>
      <c r="C82" s="131" t="s">
        <v>33</v>
      </c>
      <c r="D82" s="131" t="s">
        <v>30</v>
      </c>
      <c r="E82" s="61">
        <v>130</v>
      </c>
      <c r="F82" s="61">
        <v>11</v>
      </c>
      <c r="G82" s="61">
        <f>Data[[#This Row],[Qty Delivered]]-Data[[#This Row],[Qty Sold]]</f>
        <v>119</v>
      </c>
      <c r="H82" s="130">
        <v>270</v>
      </c>
      <c r="I82" s="130">
        <f>(Data[[#This Row],[Gross]]*13%)+(Data[[#This Row],[Gross]]*13%)*15%+23</f>
        <v>63.365000000000002</v>
      </c>
      <c r="J82" s="129">
        <f>Data[[#This Row],[Gross]]-Data[[#This Row],[Deduction]]</f>
        <v>206.63499999999999</v>
      </c>
    </row>
    <row r="83" spans="1:10">
      <c r="A83" s="66">
        <v>43891</v>
      </c>
      <c r="B83" s="95" t="s">
        <v>53</v>
      </c>
      <c r="C83" s="131" t="s">
        <v>33</v>
      </c>
      <c r="D83" s="131" t="s">
        <v>10</v>
      </c>
      <c r="E83" s="133">
        <v>96</v>
      </c>
      <c r="F83" s="133">
        <v>96</v>
      </c>
      <c r="G83" s="133">
        <f>Data[[#This Row],[Qty Delivered]]-Data[[#This Row],[Qty Sold]]</f>
        <v>0</v>
      </c>
      <c r="H83" s="132">
        <v>2880</v>
      </c>
      <c r="I83" s="130">
        <f>(Data[[#This Row],[Gross]]*13%)+(Data[[#This Row],[Gross]]*13%)*15%+23</f>
        <v>453.56000000000006</v>
      </c>
      <c r="J83" s="129">
        <f>Data[[#This Row],[Gross]]-Data[[#This Row],[Deduction]]</f>
        <v>2426.44</v>
      </c>
    </row>
    <row r="84" spans="1:10">
      <c r="A84" s="66">
        <v>43891</v>
      </c>
      <c r="B84" s="95" t="s">
        <v>53</v>
      </c>
      <c r="C84" s="131" t="s">
        <v>33</v>
      </c>
      <c r="D84" s="161" t="s">
        <v>29</v>
      </c>
      <c r="E84" s="133">
        <v>18</v>
      </c>
      <c r="F84" s="133">
        <v>18</v>
      </c>
      <c r="G84" s="133">
        <f>Data[[#This Row],[Qty Delivered]]-Data[[#This Row],[Qty Sold]]</f>
        <v>0</v>
      </c>
      <c r="H84" s="132">
        <v>575</v>
      </c>
      <c r="I84" s="130">
        <f>(Data[[#This Row],[Gross]]*13%)+(Data[[#This Row],[Gross]]*13%)*15%+23</f>
        <v>108.96250000000001</v>
      </c>
      <c r="J84" s="129">
        <f>Data[[#This Row],[Gross]]-Data[[#This Row],[Deduction]]</f>
        <v>466.03750000000002</v>
      </c>
    </row>
    <row r="85" spans="1:10">
      <c r="A85" s="66">
        <v>43891</v>
      </c>
      <c r="B85" s="95" t="s">
        <v>53</v>
      </c>
      <c r="C85" s="131" t="s">
        <v>33</v>
      </c>
      <c r="D85" s="131" t="s">
        <v>30</v>
      </c>
      <c r="E85" s="61">
        <v>163</v>
      </c>
      <c r="F85" s="62">
        <v>163</v>
      </c>
      <c r="G85" s="61">
        <f>Data[[#This Row],[Qty Delivered]]-Data[[#This Row],[Qty Sold]]</f>
        <v>0</v>
      </c>
      <c r="H85" s="130">
        <v>3545</v>
      </c>
      <c r="I85" s="130">
        <f>(Data[[#This Row],[Gross]]*13%)+(Data[[#This Row],[Gross]]*13%)*15%+23</f>
        <v>552.97749999999996</v>
      </c>
      <c r="J85" s="129">
        <f>Data[[#This Row],[Gross]]-Data[[#This Row],[Deduction]]</f>
        <v>2992.0225</v>
      </c>
    </row>
    <row r="86" spans="1:10">
      <c r="A86" s="66">
        <v>43893</v>
      </c>
      <c r="B86" s="95" t="s">
        <v>53</v>
      </c>
      <c r="C86" s="131" t="s">
        <v>33</v>
      </c>
      <c r="D86" s="131" t="s">
        <v>10</v>
      </c>
      <c r="E86" s="61">
        <v>273</v>
      </c>
      <c r="F86" s="61">
        <v>273</v>
      </c>
      <c r="G86" s="61">
        <f>Data[[#This Row],[Qty Delivered]]-Data[[#This Row],[Qty Sold]]</f>
        <v>0</v>
      </c>
      <c r="H86" s="130">
        <v>11060</v>
      </c>
      <c r="I86" s="130">
        <f>(Data[[#This Row],[Gross]]*13%)+(Data[[#This Row],[Gross]]*13%)*15%+23</f>
        <v>1676.47</v>
      </c>
      <c r="J86" s="129">
        <f>Data[[#This Row],[Gross]]-Data[[#This Row],[Deduction]]</f>
        <v>9383.5300000000007</v>
      </c>
    </row>
    <row r="87" spans="1:10">
      <c r="A87" s="95">
        <v>43894</v>
      </c>
      <c r="B87" s="95" t="s">
        <v>53</v>
      </c>
      <c r="C87" s="131" t="s">
        <v>33</v>
      </c>
      <c r="D87" s="161" t="s">
        <v>29</v>
      </c>
      <c r="E87" s="62">
        <v>15</v>
      </c>
      <c r="F87" s="62">
        <v>15</v>
      </c>
      <c r="G87" s="62">
        <f>Data[[#This Row],[Qty Delivered]]-Data[[#This Row],[Qty Sold]]</f>
        <v>0</v>
      </c>
      <c r="H87" s="132">
        <v>525</v>
      </c>
      <c r="I87" s="130">
        <f>(Data[[#This Row],[Gross]]*13%)+(Data[[#This Row],[Gross]]*13%)*15%+23</f>
        <v>101.4875</v>
      </c>
      <c r="J87" s="129">
        <f>Data[[#This Row],[Gross]]-Data[[#This Row],[Deduction]]</f>
        <v>423.51249999999999</v>
      </c>
    </row>
    <row r="88" spans="1:10">
      <c r="A88" s="95">
        <v>43894</v>
      </c>
      <c r="B88" s="95" t="s">
        <v>53</v>
      </c>
      <c r="C88" s="131" t="s">
        <v>33</v>
      </c>
      <c r="D88" s="131" t="s">
        <v>10</v>
      </c>
      <c r="E88" s="61">
        <v>39</v>
      </c>
      <c r="F88" s="61">
        <v>39</v>
      </c>
      <c r="G88" s="61">
        <f>Data[[#This Row],[Qty Delivered]]-Data[[#This Row],[Qty Sold]]</f>
        <v>0</v>
      </c>
      <c r="H88" s="130">
        <v>1630</v>
      </c>
      <c r="I88" s="130">
        <f>(Data[[#This Row],[Gross]]*13%)+(Data[[#This Row],[Gross]]*13%)*15%+23</f>
        <v>266.685</v>
      </c>
      <c r="J88" s="129">
        <f>Data[[#This Row],[Gross]]-Data[[#This Row],[Deduction]]</f>
        <v>1363.3150000000001</v>
      </c>
    </row>
    <row r="89" spans="1:10">
      <c r="A89" s="95">
        <v>43894</v>
      </c>
      <c r="B89" s="95" t="s">
        <v>53</v>
      </c>
      <c r="C89" s="131" t="s">
        <v>33</v>
      </c>
      <c r="D89" s="131" t="s">
        <v>30</v>
      </c>
      <c r="E89" s="61">
        <v>314</v>
      </c>
      <c r="F89" s="62">
        <v>158</v>
      </c>
      <c r="G89" s="61">
        <f>Data[[#This Row],[Qty Delivered]]-Data[[#This Row],[Qty Sold]]</f>
        <v>156</v>
      </c>
      <c r="H89" s="130">
        <v>3150</v>
      </c>
      <c r="I89" s="130">
        <f>(Data[[#This Row],[Gross]]*13%)+(Data[[#This Row],[Gross]]*13%)*15%+23</f>
        <v>493.92500000000001</v>
      </c>
      <c r="J89" s="129">
        <f>Data[[#This Row],[Gross]]-Data[[#This Row],[Deduction]]</f>
        <v>2656.0749999999998</v>
      </c>
    </row>
    <row r="90" spans="1:10">
      <c r="A90" s="95">
        <v>43895</v>
      </c>
      <c r="B90" s="95" t="s">
        <v>53</v>
      </c>
      <c r="C90" s="131" t="s">
        <v>33</v>
      </c>
      <c r="D90" s="161" t="s">
        <v>29</v>
      </c>
      <c r="E90" s="62">
        <v>160</v>
      </c>
      <c r="F90" s="62">
        <v>160</v>
      </c>
      <c r="G90" s="62">
        <f>Data[[#This Row],[Qty Delivered]]-Data[[#This Row],[Qty Sold]]</f>
        <v>0</v>
      </c>
      <c r="H90" s="132">
        <v>8315</v>
      </c>
      <c r="I90" s="130">
        <f>(Data[[#This Row],[Gross]]*13%)+(Data[[#This Row],[Gross]]*13%)*15%+23</f>
        <v>1266.0925</v>
      </c>
      <c r="J90" s="129">
        <f>Data[[#This Row],[Gross]]-Data[[#This Row],[Deduction]]</f>
        <v>7048.9075000000003</v>
      </c>
    </row>
    <row r="91" spans="1:10">
      <c r="A91" s="95">
        <v>43895</v>
      </c>
      <c r="B91" s="95" t="s">
        <v>53</v>
      </c>
      <c r="C91" s="131" t="s">
        <v>33</v>
      </c>
      <c r="D91" s="131" t="s">
        <v>10</v>
      </c>
      <c r="E91" s="61">
        <v>144</v>
      </c>
      <c r="F91" s="61">
        <v>144</v>
      </c>
      <c r="G91" s="61">
        <f>Data[[#This Row],[Qty Delivered]]-Data[[#This Row],[Qty Sold]]</f>
        <v>0</v>
      </c>
      <c r="H91" s="130">
        <v>4330</v>
      </c>
      <c r="I91" s="130">
        <f>(Data[[#This Row],[Gross]]*13%)+(Data[[#This Row],[Gross]]*13%)*15%+23</f>
        <v>670.33499999999992</v>
      </c>
      <c r="J91" s="129">
        <f>Data[[#This Row],[Gross]]-Data[[#This Row],[Deduction]]</f>
        <v>3659.665</v>
      </c>
    </row>
    <row r="92" spans="1:10">
      <c r="A92" s="95">
        <v>43895</v>
      </c>
      <c r="B92" s="95" t="s">
        <v>53</v>
      </c>
      <c r="C92" s="131" t="s">
        <v>33</v>
      </c>
      <c r="D92" s="161" t="s">
        <v>29</v>
      </c>
      <c r="E92" s="62">
        <v>202</v>
      </c>
      <c r="F92" s="62">
        <v>202</v>
      </c>
      <c r="G92" s="62">
        <f>Data[[#This Row],[Qty Delivered]]-Data[[#This Row],[Qty Sold]]</f>
        <v>0</v>
      </c>
      <c r="H92" s="132">
        <v>7030</v>
      </c>
      <c r="I92" s="130">
        <f>(Data[[#This Row],[Gross]]*13%)+(Data[[#This Row],[Gross]]*13%)*15%+23</f>
        <v>1073.9849999999999</v>
      </c>
      <c r="J92" s="129">
        <f>Data[[#This Row],[Gross]]-Data[[#This Row],[Deduction]]</f>
        <v>5956.0150000000003</v>
      </c>
    </row>
    <row r="93" spans="1:10">
      <c r="A93" s="95">
        <v>43895</v>
      </c>
      <c r="B93" s="95" t="s">
        <v>53</v>
      </c>
      <c r="C93" s="131" t="s">
        <v>33</v>
      </c>
      <c r="D93" s="131" t="s">
        <v>10</v>
      </c>
      <c r="E93" s="61">
        <v>37</v>
      </c>
      <c r="F93" s="61">
        <v>37</v>
      </c>
      <c r="G93" s="61">
        <f>Data[[#This Row],[Qty Delivered]]-Data[[#This Row],[Qty Sold]]</f>
        <v>0</v>
      </c>
      <c r="H93" s="130">
        <v>625</v>
      </c>
      <c r="I93" s="130">
        <f>(Data[[#This Row],[Gross]]*13%)+(Data[[#This Row],[Gross]]*13%)*15%+23</f>
        <v>116.4375</v>
      </c>
      <c r="J93" s="129">
        <f>Data[[#This Row],[Gross]]-Data[[#This Row],[Deduction]]</f>
        <v>508.5625</v>
      </c>
    </row>
    <row r="94" spans="1:10">
      <c r="A94" s="95">
        <v>43895</v>
      </c>
      <c r="B94" s="95" t="s">
        <v>53</v>
      </c>
      <c r="C94" s="131" t="s">
        <v>33</v>
      </c>
      <c r="D94" s="131" t="s">
        <v>30</v>
      </c>
      <c r="E94" s="61">
        <v>26</v>
      </c>
      <c r="F94" s="62">
        <v>24</v>
      </c>
      <c r="G94" s="61">
        <f>Data[[#This Row],[Qty Delivered]]-Data[[#This Row],[Qty Sold]]</f>
        <v>2</v>
      </c>
      <c r="H94" s="130">
        <v>580</v>
      </c>
      <c r="I94" s="130">
        <f>(Data[[#This Row],[Gross]]*13%)+(Data[[#This Row],[Gross]]*13%)*15%+23</f>
        <v>109.71000000000001</v>
      </c>
      <c r="J94" s="129">
        <f>Data[[#This Row],[Gross]]-Data[[#This Row],[Deduction]]</f>
        <v>470.28999999999996</v>
      </c>
    </row>
    <row r="95" spans="1:10">
      <c r="A95" s="95">
        <v>43896</v>
      </c>
      <c r="B95" s="95" t="s">
        <v>53</v>
      </c>
      <c r="C95" s="131" t="s">
        <v>33</v>
      </c>
      <c r="D95" s="161" t="s">
        <v>29</v>
      </c>
      <c r="E95" s="62">
        <v>164</v>
      </c>
      <c r="F95" s="62">
        <v>164</v>
      </c>
      <c r="G95" s="62">
        <f>Data[[#This Row],[Qty Delivered]]-Data[[#This Row],[Qty Sold]]</f>
        <v>0</v>
      </c>
      <c r="H95" s="132">
        <v>4099</v>
      </c>
      <c r="I95" s="130">
        <f>(Data[[#This Row],[Gross]]*13%)+(Data[[#This Row],[Gross]]*13%)*15%+23</f>
        <v>635.80050000000006</v>
      </c>
      <c r="J95" s="129">
        <f>Data[[#This Row],[Gross]]-Data[[#This Row],[Deduction]]</f>
        <v>3463.1994999999997</v>
      </c>
    </row>
    <row r="96" spans="1:10">
      <c r="A96" s="95">
        <v>43900</v>
      </c>
      <c r="B96" s="95" t="s">
        <v>53</v>
      </c>
      <c r="C96" s="131" t="s">
        <v>33</v>
      </c>
      <c r="D96" s="161" t="s">
        <v>29</v>
      </c>
      <c r="E96" s="62">
        <v>172</v>
      </c>
      <c r="F96" s="62">
        <v>172</v>
      </c>
      <c r="G96" s="62">
        <f>Data[[#This Row],[Qty Delivered]]-Data[[#This Row],[Qty Sold]]</f>
        <v>0</v>
      </c>
      <c r="H96" s="132">
        <v>2570</v>
      </c>
      <c r="I96" s="130">
        <f>(Data[[#This Row],[Gross]]*13%)+(Data[[#This Row],[Gross]]*13%)*15%+23</f>
        <v>407.21500000000003</v>
      </c>
      <c r="J96" s="129">
        <f>Data[[#This Row],[Gross]]-Data[[#This Row],[Deduction]]</f>
        <v>2162.7849999999999</v>
      </c>
    </row>
    <row r="97" spans="1:10">
      <c r="A97" s="95">
        <v>43900</v>
      </c>
      <c r="B97" s="95" t="s">
        <v>53</v>
      </c>
      <c r="C97" s="131" t="s">
        <v>33</v>
      </c>
      <c r="D97" s="161" t="s">
        <v>29</v>
      </c>
      <c r="E97" s="62">
        <v>31</v>
      </c>
      <c r="F97" s="62">
        <v>31</v>
      </c>
      <c r="G97" s="62">
        <f>Data[[#This Row],[Qty Delivered]]-Data[[#This Row],[Qty Sold]]</f>
        <v>0</v>
      </c>
      <c r="H97" s="132">
        <v>1420</v>
      </c>
      <c r="I97" s="130">
        <f>(Data[[#This Row],[Gross]]*13%)+(Data[[#This Row],[Gross]]*13%)*15%+23</f>
        <v>235.29</v>
      </c>
      <c r="J97" s="129">
        <f>Data[[#This Row],[Gross]]-Data[[#This Row],[Deduction]]</f>
        <v>1184.71</v>
      </c>
    </row>
    <row r="98" spans="1:10">
      <c r="A98" s="95">
        <v>43900</v>
      </c>
      <c r="B98" s="95" t="s">
        <v>53</v>
      </c>
      <c r="C98" s="131" t="s">
        <v>33</v>
      </c>
      <c r="D98" s="131" t="s">
        <v>10</v>
      </c>
      <c r="E98" s="61">
        <v>76</v>
      </c>
      <c r="F98" s="61">
        <v>76</v>
      </c>
      <c r="G98" s="61">
        <f>Data[[#This Row],[Qty Delivered]]-Data[[#This Row],[Qty Sold]]</f>
        <v>0</v>
      </c>
      <c r="H98" s="130">
        <v>1620</v>
      </c>
      <c r="I98" s="130">
        <f>(Data[[#This Row],[Gross]]*13%)+(Data[[#This Row],[Gross]]*13%)*15%+23</f>
        <v>265.19</v>
      </c>
      <c r="J98" s="129">
        <f>Data[[#This Row],[Gross]]-Data[[#This Row],[Deduction]]</f>
        <v>1354.81</v>
      </c>
    </row>
    <row r="99" spans="1:10">
      <c r="A99" s="95">
        <v>43900</v>
      </c>
      <c r="B99" s="95" t="s">
        <v>53</v>
      </c>
      <c r="C99" s="131" t="s">
        <v>33</v>
      </c>
      <c r="D99" s="131" t="s">
        <v>30</v>
      </c>
      <c r="E99" s="61">
        <v>85</v>
      </c>
      <c r="F99" s="62">
        <v>83</v>
      </c>
      <c r="G99" s="61">
        <f>Data[[#This Row],[Qty Delivered]]-Data[[#This Row],[Qty Sold]]</f>
        <v>2</v>
      </c>
      <c r="H99" s="130">
        <v>2095</v>
      </c>
      <c r="I99" s="130">
        <f>(Data[[#This Row],[Gross]]*13%)+(Data[[#This Row],[Gross]]*13%)*15%+23</f>
        <v>336.20250000000004</v>
      </c>
      <c r="J99" s="129">
        <f>Data[[#This Row],[Gross]]-Data[[#This Row],[Deduction]]</f>
        <v>1758.7974999999999</v>
      </c>
    </row>
    <row r="100" spans="1:10">
      <c r="A100" s="66">
        <v>43902</v>
      </c>
      <c r="B100" s="95" t="s">
        <v>53</v>
      </c>
      <c r="C100" s="131" t="s">
        <v>33</v>
      </c>
      <c r="D100" s="131" t="s">
        <v>10</v>
      </c>
      <c r="E100" s="61">
        <v>182</v>
      </c>
      <c r="F100" s="61">
        <v>182</v>
      </c>
      <c r="G100" s="61">
        <f>Data[[#This Row],[Qty Delivered]]-Data[[#This Row],[Qty Sold]]</f>
        <v>0</v>
      </c>
      <c r="H100" s="130">
        <v>4460</v>
      </c>
      <c r="I100" s="130">
        <f>(Data[[#This Row],[Gross]]*13%)+(Data[[#This Row],[Gross]]*13%)*15%+23</f>
        <v>689.7700000000001</v>
      </c>
      <c r="J100" s="129">
        <f>Data[[#This Row],[Gross]]-Data[[#This Row],[Deduction]]</f>
        <v>3770.23</v>
      </c>
    </row>
    <row r="101" spans="1:10">
      <c r="A101" s="66">
        <v>43903</v>
      </c>
      <c r="B101" s="95" t="s">
        <v>53</v>
      </c>
      <c r="C101" s="131" t="s">
        <v>33</v>
      </c>
      <c r="D101" s="131" t="s">
        <v>10</v>
      </c>
      <c r="E101" s="61">
        <v>174</v>
      </c>
      <c r="F101" s="62">
        <v>174</v>
      </c>
      <c r="G101" s="61">
        <f>Data[[#This Row],[Qty Delivered]]-Data[[#This Row],[Qty Sold]]</f>
        <v>0</v>
      </c>
      <c r="H101" s="130">
        <v>3532</v>
      </c>
      <c r="I101" s="130">
        <f>(Data[[#This Row],[Gross]]*13%)+(Data[[#This Row],[Gross]]*13%)*15%+23</f>
        <v>551.03399999999999</v>
      </c>
      <c r="J101" s="129">
        <f>Data[[#This Row],[Gross]]-Data[[#This Row],[Deduction]]</f>
        <v>2980.9659999999999</v>
      </c>
    </row>
    <row r="102" spans="1:10">
      <c r="A102" s="66">
        <v>43904</v>
      </c>
      <c r="B102" s="95" t="s">
        <v>53</v>
      </c>
      <c r="C102" s="131" t="s">
        <v>33</v>
      </c>
      <c r="D102" s="131" t="s">
        <v>10</v>
      </c>
      <c r="E102" s="61">
        <v>120</v>
      </c>
      <c r="F102" s="62">
        <v>120</v>
      </c>
      <c r="G102" s="61">
        <f>Data[[#This Row],[Qty Delivered]]-Data[[#This Row],[Qty Sold]]</f>
        <v>0</v>
      </c>
      <c r="H102" s="130">
        <v>2492</v>
      </c>
      <c r="I102" s="130">
        <f>(Data[[#This Row],[Gross]]*13%)+(Data[[#This Row],[Gross]]*13%)*15%+23</f>
        <v>395.55400000000003</v>
      </c>
      <c r="J102" s="129">
        <f>Data[[#This Row],[Gross]]-Data[[#This Row],[Deduction]]</f>
        <v>2096.4459999999999</v>
      </c>
    </row>
    <row r="103" spans="1:10">
      <c r="A103" s="66">
        <v>43904</v>
      </c>
      <c r="B103" s="95" t="s">
        <v>53</v>
      </c>
      <c r="C103" s="131" t="s">
        <v>33</v>
      </c>
      <c r="D103" s="131" t="s">
        <v>30</v>
      </c>
      <c r="E103" s="61">
        <v>82</v>
      </c>
      <c r="F103" s="62">
        <v>20</v>
      </c>
      <c r="G103" s="61">
        <f>Data[[#This Row],[Qty Delivered]]-Data[[#This Row],[Qty Sold]]</f>
        <v>62</v>
      </c>
      <c r="H103" s="130">
        <v>1830</v>
      </c>
      <c r="I103" s="130">
        <f>(Data[[#This Row],[Gross]]*13%)+(Data[[#This Row],[Gross]]*13%)*15%+23</f>
        <v>296.58500000000004</v>
      </c>
      <c r="J103" s="129">
        <f>Data[[#This Row],[Gross]]-Data[[#This Row],[Deduction]]</f>
        <v>1533.415</v>
      </c>
    </row>
    <row r="104" spans="1:10">
      <c r="A104" s="95">
        <v>43906</v>
      </c>
      <c r="B104" s="95" t="s">
        <v>53</v>
      </c>
      <c r="C104" s="131" t="s">
        <v>33</v>
      </c>
      <c r="D104" s="161" t="s">
        <v>29</v>
      </c>
      <c r="E104" s="62">
        <v>204</v>
      </c>
      <c r="F104" s="62">
        <v>204</v>
      </c>
      <c r="G104" s="62">
        <f>Data[[#This Row],[Qty Delivered]]-Data[[#This Row],[Qty Sold]]</f>
        <v>0</v>
      </c>
      <c r="H104" s="132">
        <v>6114</v>
      </c>
      <c r="I104" s="130">
        <f>(Data[[#This Row],[Gross]]*13%)+(Data[[#This Row],[Gross]]*13%)*15%+23</f>
        <v>937.04300000000001</v>
      </c>
      <c r="J104" s="129">
        <f>Data[[#This Row],[Gross]]-Data[[#This Row],[Deduction]]</f>
        <v>5176.9570000000003</v>
      </c>
    </row>
    <row r="105" spans="1:10">
      <c r="A105" s="95">
        <v>43906</v>
      </c>
      <c r="B105" s="95" t="s">
        <v>53</v>
      </c>
      <c r="C105" s="131" t="s">
        <v>33</v>
      </c>
      <c r="D105" s="131" t="s">
        <v>10</v>
      </c>
      <c r="E105" s="61">
        <v>31</v>
      </c>
      <c r="F105" s="62">
        <v>31</v>
      </c>
      <c r="G105" s="61">
        <f>Data[[#This Row],[Qty Delivered]]-Data[[#This Row],[Qty Sold]]</f>
        <v>0</v>
      </c>
      <c r="H105" s="130">
        <v>980</v>
      </c>
      <c r="I105" s="130">
        <f>(Data[[#This Row],[Gross]]*13%)+(Data[[#This Row],[Gross]]*13%)*15%+23</f>
        <v>169.51</v>
      </c>
      <c r="J105" s="129">
        <f>Data[[#This Row],[Gross]]-Data[[#This Row],[Deduction]]</f>
        <v>810.49</v>
      </c>
    </row>
    <row r="106" spans="1:10">
      <c r="A106" s="95">
        <v>43907</v>
      </c>
      <c r="B106" s="95" t="s">
        <v>53</v>
      </c>
      <c r="C106" s="131" t="s">
        <v>33</v>
      </c>
      <c r="D106" s="161" t="s">
        <v>29</v>
      </c>
      <c r="E106" s="62">
        <v>65</v>
      </c>
      <c r="F106" s="62">
        <v>65</v>
      </c>
      <c r="G106" s="62">
        <f>Data[[#This Row],[Qty Delivered]]-Data[[#This Row],[Qty Sold]]</f>
        <v>0</v>
      </c>
      <c r="H106" s="132">
        <v>1360</v>
      </c>
      <c r="I106" s="130">
        <f>(Data[[#This Row],[Gross]]*13%)+(Data[[#This Row],[Gross]]*13%)*15%+23</f>
        <v>226.32000000000002</v>
      </c>
      <c r="J106" s="129">
        <f>Data[[#This Row],[Gross]]-Data[[#This Row],[Deduction]]</f>
        <v>1133.68</v>
      </c>
    </row>
    <row r="107" spans="1:10">
      <c r="A107" s="95">
        <v>43907</v>
      </c>
      <c r="B107" s="95" t="s">
        <v>53</v>
      </c>
      <c r="C107" s="131" t="s">
        <v>33</v>
      </c>
      <c r="D107" s="131" t="s">
        <v>10</v>
      </c>
      <c r="E107" s="61">
        <v>58</v>
      </c>
      <c r="F107" s="62">
        <v>58</v>
      </c>
      <c r="G107" s="61">
        <f>Data[[#This Row],[Qty Delivered]]-Data[[#This Row],[Qty Sold]]</f>
        <v>0</v>
      </c>
      <c r="H107" s="130">
        <v>1495</v>
      </c>
      <c r="I107" s="130">
        <f>(Data[[#This Row],[Gross]]*13%)+(Data[[#This Row],[Gross]]*13%)*15%+23</f>
        <v>246.5025</v>
      </c>
      <c r="J107" s="129">
        <f>Data[[#This Row],[Gross]]-Data[[#This Row],[Deduction]]</f>
        <v>1248.4974999999999</v>
      </c>
    </row>
    <row r="108" spans="1:10">
      <c r="A108" s="66">
        <v>43909</v>
      </c>
      <c r="B108" s="95" t="s">
        <v>53</v>
      </c>
      <c r="C108" s="131" t="s">
        <v>33</v>
      </c>
      <c r="D108" s="131" t="s">
        <v>30</v>
      </c>
      <c r="E108" s="61">
        <v>348</v>
      </c>
      <c r="F108" s="62">
        <v>348</v>
      </c>
      <c r="G108" s="61">
        <f>Data[[#This Row],[Qty Delivered]]-Data[[#This Row],[Qty Sold]]</f>
        <v>0</v>
      </c>
      <c r="H108" s="130">
        <v>5974</v>
      </c>
      <c r="I108" s="130">
        <f>(Data[[#This Row],[Gross]]*13%)+(Data[[#This Row],[Gross]]*13%)*15%+23</f>
        <v>916.11300000000006</v>
      </c>
      <c r="J108" s="129">
        <f>Data[[#This Row],[Gross]]-Data[[#This Row],[Deduction]]</f>
        <v>5057.8869999999997</v>
      </c>
    </row>
    <row r="109" spans="1:10">
      <c r="A109" s="95">
        <v>43913</v>
      </c>
      <c r="B109" s="95" t="s">
        <v>53</v>
      </c>
      <c r="C109" s="131" t="s">
        <v>33</v>
      </c>
      <c r="D109" s="161" t="s">
        <v>29</v>
      </c>
      <c r="E109" s="62">
        <v>202</v>
      </c>
      <c r="F109" s="62">
        <v>192</v>
      </c>
      <c r="G109" s="62">
        <f>Data[[#This Row],[Qty Delivered]]-Data[[#This Row],[Qty Sold]]</f>
        <v>10</v>
      </c>
      <c r="H109" s="132">
        <v>4680</v>
      </c>
      <c r="I109" s="130">
        <f>(Data[[#This Row],[Gross]]*13%)+(Data[[#This Row],[Gross]]*13%)*15%+23</f>
        <v>722.66</v>
      </c>
      <c r="J109" s="129">
        <f>Data[[#This Row],[Gross]]-Data[[#This Row],[Deduction]]</f>
        <v>3957.34</v>
      </c>
    </row>
    <row r="110" spans="1:10">
      <c r="A110" s="95">
        <v>43913</v>
      </c>
      <c r="B110" s="95" t="s">
        <v>53</v>
      </c>
      <c r="C110" s="131" t="s">
        <v>33</v>
      </c>
      <c r="D110" s="161" t="s">
        <v>29</v>
      </c>
      <c r="E110" s="62">
        <v>200</v>
      </c>
      <c r="F110" s="62">
        <v>200</v>
      </c>
      <c r="G110" s="62">
        <f>Data[[#This Row],[Qty Delivered]]-Data[[#This Row],[Qty Sold]]</f>
        <v>0</v>
      </c>
      <c r="H110" s="132">
        <v>5380</v>
      </c>
      <c r="I110" s="130">
        <f>(Data[[#This Row],[Gross]]*13%)+(Data[[#This Row],[Gross]]*13%)*15%+23</f>
        <v>827.31</v>
      </c>
      <c r="J110" s="129">
        <f>Data[[#This Row],[Gross]]-Data[[#This Row],[Deduction]]</f>
        <v>4552.6900000000005</v>
      </c>
    </row>
    <row r="111" spans="1:10">
      <c r="A111" s="95">
        <v>43914</v>
      </c>
      <c r="B111" s="95" t="s">
        <v>53</v>
      </c>
      <c r="C111" s="131" t="s">
        <v>33</v>
      </c>
      <c r="D111" s="161" t="s">
        <v>29</v>
      </c>
      <c r="E111" s="62">
        <v>83</v>
      </c>
      <c r="F111" s="62">
        <v>83</v>
      </c>
      <c r="G111" s="62">
        <f>Data[[#This Row],[Qty Delivered]]-Data[[#This Row],[Qty Sold]]</f>
        <v>0</v>
      </c>
      <c r="H111" s="132">
        <v>2490</v>
      </c>
      <c r="I111" s="130">
        <f>(Data[[#This Row],[Gross]]*13%)+(Data[[#This Row],[Gross]]*13%)*15%+23</f>
        <v>395.255</v>
      </c>
      <c r="J111" s="129">
        <f>Data[[#This Row],[Gross]]-Data[[#This Row],[Deduction]]</f>
        <v>2094.7449999999999</v>
      </c>
    </row>
    <row r="112" spans="1:10">
      <c r="A112" s="95">
        <v>43914</v>
      </c>
      <c r="B112" s="95" t="s">
        <v>53</v>
      </c>
      <c r="C112" s="131" t="s">
        <v>33</v>
      </c>
      <c r="D112" s="131" t="s">
        <v>10</v>
      </c>
      <c r="E112" s="61">
        <v>26</v>
      </c>
      <c r="F112" s="62">
        <v>26</v>
      </c>
      <c r="G112" s="61">
        <f>Data[[#This Row],[Qty Delivered]]-Data[[#This Row],[Qty Sold]]</f>
        <v>0</v>
      </c>
      <c r="H112" s="130">
        <v>650</v>
      </c>
      <c r="I112" s="130">
        <f>(Data[[#This Row],[Gross]]*13%)+(Data[[#This Row],[Gross]]*13%)*15%+23</f>
        <v>120.175</v>
      </c>
      <c r="J112" s="129">
        <f>Data[[#This Row],[Gross]]-Data[[#This Row],[Deduction]]</f>
        <v>529.82500000000005</v>
      </c>
    </row>
    <row r="113" spans="1:10">
      <c r="A113" s="95">
        <v>43914</v>
      </c>
      <c r="B113" s="95" t="s">
        <v>53</v>
      </c>
      <c r="C113" s="131" t="s">
        <v>33</v>
      </c>
      <c r="D113" s="131" t="s">
        <v>30</v>
      </c>
      <c r="E113" s="61">
        <v>19</v>
      </c>
      <c r="F113" s="62">
        <v>19</v>
      </c>
      <c r="G113" s="61">
        <f>Data[[#This Row],[Qty Delivered]]-Data[[#This Row],[Qty Sold]]</f>
        <v>0</v>
      </c>
      <c r="H113" s="130">
        <v>260</v>
      </c>
      <c r="I113" s="130">
        <f>(Data[[#This Row],[Gross]]*13%)+(Data[[#This Row],[Gross]]*13%)*15%+23</f>
        <v>61.870000000000005</v>
      </c>
      <c r="J113" s="129">
        <f>Data[[#This Row],[Gross]]-Data[[#This Row],[Deduction]]</f>
        <v>198.13</v>
      </c>
    </row>
    <row r="114" spans="1:10">
      <c r="A114" s="66">
        <v>43916</v>
      </c>
      <c r="B114" s="95" t="s">
        <v>53</v>
      </c>
      <c r="C114" s="131" t="s">
        <v>33</v>
      </c>
      <c r="D114" s="131" t="s">
        <v>10</v>
      </c>
      <c r="E114" s="61">
        <v>119</v>
      </c>
      <c r="F114" s="62">
        <v>67</v>
      </c>
      <c r="G114" s="61">
        <f>Data[[#This Row],[Qty Delivered]]-Data[[#This Row],[Qty Sold]]</f>
        <v>52</v>
      </c>
      <c r="H114" s="130">
        <v>705</v>
      </c>
      <c r="I114" s="130">
        <f>(Data[[#This Row],[Gross]]*13%)+(Data[[#This Row],[Gross]]*13%)*15%+23</f>
        <v>128.39750000000001</v>
      </c>
      <c r="J114" s="129">
        <f>Data[[#This Row],[Gross]]-Data[[#This Row],[Deduction]]</f>
        <v>576.60249999999996</v>
      </c>
    </row>
    <row r="115" spans="1:10">
      <c r="A115" s="95">
        <v>43926</v>
      </c>
      <c r="B115" s="95" t="s">
        <v>53</v>
      </c>
      <c r="C115" s="131" t="s">
        <v>33</v>
      </c>
      <c r="D115" s="161" t="s">
        <v>29</v>
      </c>
      <c r="E115" s="62">
        <v>348</v>
      </c>
      <c r="F115" s="62">
        <v>259</v>
      </c>
      <c r="G115" s="62">
        <f>Data[[#This Row],[Qty Delivered]]-Data[[#This Row],[Qty Sold]]</f>
        <v>89</v>
      </c>
      <c r="H115" s="132">
        <v>6640</v>
      </c>
      <c r="I115" s="130">
        <f>(Data[[#This Row],[Gross]]*13%)+(Data[[#This Row],[Gross]]*13%)*15%+23</f>
        <v>1015.6800000000001</v>
      </c>
      <c r="J115" s="129">
        <f>Data[[#This Row],[Gross]]-Data[[#This Row],[Deduction]]</f>
        <v>5624.32</v>
      </c>
    </row>
    <row r="116" spans="1:10">
      <c r="A116" s="95">
        <v>43928</v>
      </c>
      <c r="B116" s="95" t="s">
        <v>53</v>
      </c>
      <c r="C116" s="131" t="s">
        <v>33</v>
      </c>
      <c r="D116" s="161" t="s">
        <v>29</v>
      </c>
      <c r="E116" s="62">
        <v>245</v>
      </c>
      <c r="F116" s="62">
        <v>182</v>
      </c>
      <c r="G116" s="62">
        <f>Data[[#This Row],[Qty Delivered]]-Data[[#This Row],[Qty Sold]]</f>
        <v>63</v>
      </c>
      <c r="H116" s="132">
        <v>4770</v>
      </c>
      <c r="I116" s="130">
        <f>(Data[[#This Row],[Gross]]*13%)+(Data[[#This Row],[Gross]]*13%)*15%+23</f>
        <v>736.11500000000001</v>
      </c>
      <c r="J116" s="129">
        <f>Data[[#This Row],[Gross]]-Data[[#This Row],[Deduction]]</f>
        <v>4033.8850000000002</v>
      </c>
    </row>
    <row r="117" spans="1:10">
      <c r="A117" s="95">
        <v>43934</v>
      </c>
      <c r="B117" s="95" t="s">
        <v>53</v>
      </c>
      <c r="C117" s="131" t="s">
        <v>33</v>
      </c>
      <c r="D117" s="161" t="s">
        <v>29</v>
      </c>
      <c r="E117" s="62">
        <v>229</v>
      </c>
      <c r="F117" s="62">
        <v>229</v>
      </c>
      <c r="G117" s="62">
        <f>Data[[#This Row],[Qty Delivered]]-Data[[#This Row],[Qty Sold]]</f>
        <v>0</v>
      </c>
      <c r="H117" s="132">
        <v>5470</v>
      </c>
      <c r="I117" s="130">
        <f>(Data[[#This Row],[Gross]]*13%)+(Data[[#This Row],[Gross]]*13%)*15%+23</f>
        <v>840.76499999999999</v>
      </c>
      <c r="J117" s="129">
        <f>Data[[#This Row],[Gross]]-Data[[#This Row],[Deduction]]</f>
        <v>4629.2349999999997</v>
      </c>
    </row>
    <row r="118" spans="1:10">
      <c r="A118" s="95">
        <v>43934</v>
      </c>
      <c r="B118" s="95" t="s">
        <v>53</v>
      </c>
      <c r="C118" s="131" t="s">
        <v>33</v>
      </c>
      <c r="D118" s="131" t="s">
        <v>10</v>
      </c>
      <c r="E118" s="61">
        <v>86</v>
      </c>
      <c r="F118" s="62">
        <v>86</v>
      </c>
      <c r="G118" s="61">
        <f>Data[[#This Row],[Qty Delivered]]-Data[[#This Row],[Qty Sold]]</f>
        <v>0</v>
      </c>
      <c r="H118" s="130">
        <v>2120</v>
      </c>
      <c r="I118" s="130">
        <f>(Data[[#This Row],[Gross]]*13%)+(Data[[#This Row],[Gross]]*13%)*15%+23</f>
        <v>339.94000000000005</v>
      </c>
      <c r="J118" s="129">
        <f>Data[[#This Row],[Gross]]-Data[[#This Row],[Deduction]]</f>
        <v>1780.06</v>
      </c>
    </row>
    <row r="119" spans="1:10">
      <c r="A119" s="66">
        <v>43936</v>
      </c>
      <c r="B119" s="95" t="s">
        <v>53</v>
      </c>
      <c r="C119" s="131" t="s">
        <v>33</v>
      </c>
      <c r="D119" s="131" t="s">
        <v>30</v>
      </c>
      <c r="E119" s="61">
        <v>464</v>
      </c>
      <c r="F119" s="62">
        <v>424</v>
      </c>
      <c r="G119" s="61">
        <f>Data[[#This Row],[Qty Delivered]]-Data[[#This Row],[Qty Sold]]</f>
        <v>40</v>
      </c>
      <c r="H119" s="130">
        <v>9649</v>
      </c>
      <c r="I119" s="130">
        <f>(Data[[#This Row],[Gross]]*13%)+(Data[[#This Row],[Gross]]*13%)*15%+23</f>
        <v>1465.5255000000002</v>
      </c>
      <c r="J119" s="129">
        <f>Data[[#This Row],[Gross]]-Data[[#This Row],[Deduction]]</f>
        <v>8183.4745000000003</v>
      </c>
    </row>
    <row r="120" spans="1:10">
      <c r="A120" s="95">
        <v>43937</v>
      </c>
      <c r="B120" s="95" t="s">
        <v>53</v>
      </c>
      <c r="C120" s="131" t="s">
        <v>33</v>
      </c>
      <c r="D120" s="161" t="s">
        <v>29</v>
      </c>
      <c r="E120" s="62">
        <v>308</v>
      </c>
      <c r="F120" s="62">
        <v>264</v>
      </c>
      <c r="G120" s="62">
        <f>Data[[#This Row],[Qty Delivered]]-Data[[#This Row],[Qty Sold]]</f>
        <v>44</v>
      </c>
      <c r="H120" s="132">
        <v>4805</v>
      </c>
      <c r="I120" s="130">
        <f>(Data[[#This Row],[Gross]]*13%)+(Data[[#This Row],[Gross]]*13%)*15%+23</f>
        <v>741.34749999999997</v>
      </c>
      <c r="J120" s="129">
        <f>Data[[#This Row],[Gross]]-Data[[#This Row],[Deduction]]</f>
        <v>4063.6525000000001</v>
      </c>
    </row>
    <row r="121" spans="1:10">
      <c r="A121" s="95">
        <v>43937</v>
      </c>
      <c r="B121" s="95" t="s">
        <v>53</v>
      </c>
      <c r="C121" s="131" t="s">
        <v>33</v>
      </c>
      <c r="D121" s="161" t="s">
        <v>29</v>
      </c>
      <c r="E121" s="62">
        <v>262</v>
      </c>
      <c r="F121" s="62">
        <v>202</v>
      </c>
      <c r="G121" s="62">
        <f>Data[[#This Row],[Qty Delivered]]-Data[[#This Row],[Qty Sold]]</f>
        <v>60</v>
      </c>
      <c r="H121" s="132">
        <v>5485</v>
      </c>
      <c r="I121" s="130">
        <f>(Data[[#This Row],[Gross]]*13%)+(Data[[#This Row],[Gross]]*13%)*15%+23</f>
        <v>843.00750000000005</v>
      </c>
      <c r="J121" s="129">
        <f>Data[[#This Row],[Gross]]-Data[[#This Row],[Deduction]]</f>
        <v>4641.9925000000003</v>
      </c>
    </row>
    <row r="122" spans="1:10">
      <c r="A122" s="95">
        <v>43945</v>
      </c>
      <c r="B122" s="95" t="s">
        <v>53</v>
      </c>
      <c r="C122" s="131" t="s">
        <v>33</v>
      </c>
      <c r="D122" s="161" t="s">
        <v>29</v>
      </c>
      <c r="E122" s="62">
        <v>341</v>
      </c>
      <c r="F122" s="62">
        <v>341</v>
      </c>
      <c r="G122" s="62">
        <f>Data[[#This Row],[Qty Delivered]]-Data[[#This Row],[Qty Sold]]</f>
        <v>0</v>
      </c>
      <c r="H122" s="132">
        <v>9810</v>
      </c>
      <c r="I122" s="130">
        <f>(Data[[#This Row],[Gross]]*13%)+(Data[[#This Row],[Gross]]*13%)*15%+23</f>
        <v>1489.595</v>
      </c>
      <c r="J122" s="129">
        <f>Data[[#This Row],[Gross]]-Data[[#This Row],[Deduction]]</f>
        <v>8320.4050000000007</v>
      </c>
    </row>
    <row r="123" spans="1:10">
      <c r="A123" s="66">
        <v>43948</v>
      </c>
      <c r="B123" s="95" t="s">
        <v>53</v>
      </c>
      <c r="C123" s="131" t="s">
        <v>33</v>
      </c>
      <c r="D123" s="131" t="s">
        <v>30</v>
      </c>
      <c r="E123" s="61">
        <v>489</v>
      </c>
      <c r="F123" s="62">
        <v>489</v>
      </c>
      <c r="G123" s="61">
        <f>Data[[#This Row],[Qty Delivered]]-Data[[#This Row],[Qty Sold]]</f>
        <v>0</v>
      </c>
      <c r="H123" s="130">
        <v>14985</v>
      </c>
      <c r="I123" s="130">
        <f>(Data[[#This Row],[Gross]]*13%)+(Data[[#This Row],[Gross]]*13%)*15%+23</f>
        <v>2263.2574999999997</v>
      </c>
      <c r="J123" s="129">
        <f>Data[[#This Row],[Gross]]-Data[[#This Row],[Deduction]]</f>
        <v>12721.7425</v>
      </c>
    </row>
    <row r="124" spans="1:10">
      <c r="A124" s="95">
        <v>43952</v>
      </c>
      <c r="B124" s="95" t="s">
        <v>53</v>
      </c>
      <c r="C124" s="131" t="s">
        <v>33</v>
      </c>
      <c r="D124" s="161" t="s">
        <v>29</v>
      </c>
      <c r="E124" s="62">
        <v>250</v>
      </c>
      <c r="F124" s="62">
        <v>250</v>
      </c>
      <c r="G124" s="62">
        <f>Data[[#This Row],[Qty Delivered]]-Data[[#This Row],[Qty Sold]]</f>
        <v>0</v>
      </c>
      <c r="H124" s="132">
        <v>7150</v>
      </c>
      <c r="I124" s="130">
        <f>(Data[[#This Row],[Gross]]*13%)+(Data[[#This Row],[Gross]]*13%)*15%+23</f>
        <v>1091.925</v>
      </c>
      <c r="J124" s="129">
        <f>Data[[#This Row],[Gross]]-Data[[#This Row],[Deduction]]</f>
        <v>6058.0749999999998</v>
      </c>
    </row>
    <row r="125" spans="1:10">
      <c r="A125" s="66">
        <v>43958</v>
      </c>
      <c r="B125" s="95" t="s">
        <v>53</v>
      </c>
      <c r="C125" s="131" t="s">
        <v>33</v>
      </c>
      <c r="D125" s="131" t="s">
        <v>10</v>
      </c>
      <c r="E125" s="61">
        <v>94</v>
      </c>
      <c r="F125" s="62">
        <v>94</v>
      </c>
      <c r="G125" s="61">
        <f>Data[[#This Row],[Qty Delivered]]-Data[[#This Row],[Qty Sold]]</f>
        <v>0</v>
      </c>
      <c r="H125" s="130">
        <v>3160</v>
      </c>
      <c r="I125" s="130">
        <f>(Data[[#This Row],[Gross]]*13%)+(Data[[#This Row],[Gross]]*13%)*15%+23</f>
        <v>495.42</v>
      </c>
      <c r="J125" s="129">
        <f>Data[[#This Row],[Gross]]-Data[[#This Row],[Deduction]]</f>
        <v>2664.58</v>
      </c>
    </row>
    <row r="126" spans="1:10">
      <c r="A126" s="66">
        <v>43958</v>
      </c>
      <c r="B126" s="95" t="s">
        <v>53</v>
      </c>
      <c r="C126" s="131" t="s">
        <v>33</v>
      </c>
      <c r="D126" s="161" t="s">
        <v>29</v>
      </c>
      <c r="E126" s="62">
        <v>117</v>
      </c>
      <c r="F126" s="62">
        <v>117</v>
      </c>
      <c r="G126" s="62">
        <f>Data[[#This Row],[Qty Delivered]]-Data[[#This Row],[Qty Sold]]</f>
        <v>0</v>
      </c>
      <c r="H126" s="132">
        <v>3510</v>
      </c>
      <c r="I126" s="130">
        <f>(Data[[#This Row],[Gross]]*13%)+(Data[[#This Row],[Gross]]*13%)*15%+23</f>
        <v>547.745</v>
      </c>
      <c r="J126" s="129">
        <f>Data[[#This Row],[Gross]]-Data[[#This Row],[Deduction]]</f>
        <v>2962.2550000000001</v>
      </c>
    </row>
    <row r="127" spans="1:10">
      <c r="A127" s="66">
        <v>43958</v>
      </c>
      <c r="B127" s="95" t="s">
        <v>53</v>
      </c>
      <c r="C127" s="131" t="s">
        <v>33</v>
      </c>
      <c r="D127" s="131" t="s">
        <v>30</v>
      </c>
      <c r="E127" s="61">
        <v>43</v>
      </c>
      <c r="F127" s="61">
        <v>38</v>
      </c>
      <c r="G127" s="61">
        <f>Data[[#This Row],[Qty Delivered]]-Data[[#This Row],[Qty Sold]]</f>
        <v>5</v>
      </c>
      <c r="H127" s="130">
        <v>1340</v>
      </c>
      <c r="I127" s="130">
        <f>(Data[[#This Row],[Gross]]*13%)+(Data[[#This Row],[Gross]]*13%)*15%+23</f>
        <v>223.33</v>
      </c>
      <c r="J127" s="129">
        <f>Data[[#This Row],[Gross]]-Data[[#This Row],[Deduction]]</f>
        <v>1116.67</v>
      </c>
    </row>
    <row r="128" spans="1:10">
      <c r="A128" s="66">
        <v>43965</v>
      </c>
      <c r="B128" s="95" t="s">
        <v>53</v>
      </c>
      <c r="C128" s="131" t="s">
        <v>33</v>
      </c>
      <c r="D128" s="131" t="s">
        <v>30</v>
      </c>
      <c r="E128" s="61">
        <v>177</v>
      </c>
      <c r="F128" s="62">
        <v>80</v>
      </c>
      <c r="G128" s="61">
        <f>Data[[#This Row],[Qty Delivered]]-Data[[#This Row],[Qty Sold]]</f>
        <v>97</v>
      </c>
      <c r="H128" s="130">
        <v>1778</v>
      </c>
      <c r="I128" s="130">
        <f>(Data[[#This Row],[Gross]]*13%)+(Data[[#This Row],[Gross]]*13%)*15%+23</f>
        <v>288.81100000000004</v>
      </c>
      <c r="J128" s="129">
        <f>Data[[#This Row],[Gross]]-Data[[#This Row],[Deduction]]</f>
        <v>1489.1889999999999</v>
      </c>
    </row>
    <row r="129" spans="1:10">
      <c r="A129" s="66">
        <v>43965</v>
      </c>
      <c r="B129" s="95" t="s">
        <v>53</v>
      </c>
      <c r="C129" s="131" t="s">
        <v>33</v>
      </c>
      <c r="D129" s="131" t="s">
        <v>30</v>
      </c>
      <c r="E129" s="61">
        <v>75</v>
      </c>
      <c r="F129" s="62">
        <v>32</v>
      </c>
      <c r="G129" s="61">
        <f>Data[[#This Row],[Qty Delivered]]-Data[[#This Row],[Qty Sold]]</f>
        <v>43</v>
      </c>
      <c r="H129" s="130">
        <v>1080</v>
      </c>
      <c r="I129" s="130">
        <f>(Data[[#This Row],[Gross]]*13%)+(Data[[#This Row],[Gross]]*13%)*15%+23</f>
        <v>184.46</v>
      </c>
      <c r="J129" s="129">
        <f>Data[[#This Row],[Gross]]-Data[[#This Row],[Deduction]]</f>
        <v>895.54</v>
      </c>
    </row>
    <row r="130" spans="1:10">
      <c r="A130" s="66">
        <v>43965</v>
      </c>
      <c r="B130" s="95" t="s">
        <v>53</v>
      </c>
      <c r="C130" s="131" t="s">
        <v>33</v>
      </c>
      <c r="D130" s="161" t="s">
        <v>29</v>
      </c>
      <c r="E130" s="62">
        <v>115</v>
      </c>
      <c r="F130" s="62">
        <v>104</v>
      </c>
      <c r="G130" s="62">
        <f>Data[[#This Row],[Qty Delivered]]-Data[[#This Row],[Qty Sold]]</f>
        <v>11</v>
      </c>
      <c r="H130" s="132">
        <v>3385</v>
      </c>
      <c r="I130" s="130">
        <f>(Data[[#This Row],[Gross]]*13%)+(Data[[#This Row],[Gross]]*13%)*15%+23</f>
        <v>529.0575</v>
      </c>
      <c r="J130" s="129">
        <f>Data[[#This Row],[Gross]]-Data[[#This Row],[Deduction]]</f>
        <v>2855.9425000000001</v>
      </c>
    </row>
    <row r="131" spans="1:10">
      <c r="A131" s="95">
        <v>43971</v>
      </c>
      <c r="B131" s="95" t="s">
        <v>53</v>
      </c>
      <c r="C131" s="131" t="s">
        <v>33</v>
      </c>
      <c r="D131" s="161" t="s">
        <v>29</v>
      </c>
      <c r="E131" s="62">
        <v>219</v>
      </c>
      <c r="F131" s="62">
        <v>219</v>
      </c>
      <c r="G131" s="62">
        <f>Data[[#This Row],[Qty Delivered]]-Data[[#This Row],[Qty Sold]]</f>
        <v>0</v>
      </c>
      <c r="H131" s="132">
        <v>4964</v>
      </c>
      <c r="I131" s="130">
        <f>(Data[[#This Row],[Gross]]*13%)+(Data[[#This Row],[Gross]]*13%)*15%+23</f>
        <v>765.11800000000005</v>
      </c>
      <c r="J131" s="129">
        <f>Data[[#This Row],[Gross]]-Data[[#This Row],[Deduction]]</f>
        <v>4198.8819999999996</v>
      </c>
    </row>
    <row r="132" spans="1:10">
      <c r="A132" s="66">
        <v>43977</v>
      </c>
      <c r="B132" s="95" t="s">
        <v>53</v>
      </c>
      <c r="C132" s="131" t="s">
        <v>33</v>
      </c>
      <c r="D132" s="131" t="s">
        <v>30</v>
      </c>
      <c r="E132" s="61">
        <v>489</v>
      </c>
      <c r="F132" s="62">
        <v>470</v>
      </c>
      <c r="G132" s="61">
        <f>Data[[#This Row],[Qty Delivered]]-Data[[#This Row],[Qty Sold]]</f>
        <v>19</v>
      </c>
      <c r="H132" s="130">
        <v>10605</v>
      </c>
      <c r="I132" s="130">
        <f>(Data[[#This Row],[Gross]]*13%)+(Data[[#This Row],[Gross]]*13%)*15%+23</f>
        <v>1608.4475000000002</v>
      </c>
      <c r="J132" s="129">
        <f>Data[[#This Row],[Gross]]-Data[[#This Row],[Deduction]]</f>
        <v>8996.5524999999998</v>
      </c>
    </row>
    <row r="133" spans="1:10">
      <c r="A133" s="66">
        <v>43977</v>
      </c>
      <c r="B133" s="95" t="s">
        <v>53</v>
      </c>
      <c r="C133" s="131" t="s">
        <v>33</v>
      </c>
      <c r="D133" s="161" t="s">
        <v>29</v>
      </c>
      <c r="E133" s="62">
        <v>211</v>
      </c>
      <c r="F133" s="62">
        <v>211</v>
      </c>
      <c r="G133" s="62">
        <f>Data[[#This Row],[Qty Delivered]]-Data[[#This Row],[Qty Sold]]</f>
        <v>0</v>
      </c>
      <c r="H133" s="132">
        <v>6630</v>
      </c>
      <c r="I133" s="130">
        <f>(Data[[#This Row],[Gross]]*13%)+(Data[[#This Row],[Gross]]*13%)*15%+23</f>
        <v>1014.1849999999999</v>
      </c>
      <c r="J133" s="129">
        <f>Data[[#This Row],[Gross]]-Data[[#This Row],[Deduction]]</f>
        <v>5615.8150000000005</v>
      </c>
    </row>
    <row r="134" spans="1:10">
      <c r="A134" s="66">
        <v>44012</v>
      </c>
      <c r="B134" s="95" t="s">
        <v>53</v>
      </c>
      <c r="C134" s="160" t="s">
        <v>33</v>
      </c>
      <c r="D134" s="161" t="s">
        <v>34</v>
      </c>
      <c r="E134" s="62">
        <v>110</v>
      </c>
      <c r="F134" s="62">
        <v>110</v>
      </c>
      <c r="G134" s="62">
        <f>Data[[#This Row],[Qty Delivered]]-Data[[#This Row],[Qty Sold]]</f>
        <v>0</v>
      </c>
      <c r="H134" s="63">
        <v>15840</v>
      </c>
      <c r="I134" s="64">
        <f>(Data[[#This Row],[Gross]]*13%)+(Data[[#This Row],[Gross]]*13%)*15%+23</f>
        <v>2391.0800000000004</v>
      </c>
      <c r="J134" s="129">
        <f>Data[[#This Row],[Gross]]-Data[[#This Row],[Deduction]]</f>
        <v>13448.92</v>
      </c>
    </row>
    <row r="135" spans="1:10">
      <c r="A135" s="66">
        <v>44013</v>
      </c>
      <c r="B135" s="95" t="s">
        <v>53</v>
      </c>
      <c r="C135" s="160" t="s">
        <v>33</v>
      </c>
      <c r="D135" s="161" t="s">
        <v>35</v>
      </c>
      <c r="E135" s="62">
        <v>572</v>
      </c>
      <c r="F135" s="62">
        <v>572</v>
      </c>
      <c r="G135" s="62">
        <f>Data[[#This Row],[Qty Delivered]]-Data[[#This Row],[Qty Sold]]</f>
        <v>0</v>
      </c>
      <c r="H135" s="63">
        <v>2650</v>
      </c>
      <c r="I135" s="64">
        <f>(Data[[#This Row],[Gross]]*13%)+(Data[[#This Row],[Gross]]*13%)*15%+23</f>
        <v>419.17500000000001</v>
      </c>
      <c r="J135" s="129">
        <f>Data[[#This Row],[Gross]]-Data[[#This Row],[Deduction]]</f>
        <v>2230.8249999999998</v>
      </c>
    </row>
    <row r="136" spans="1:10">
      <c r="A136" s="66">
        <v>44017</v>
      </c>
      <c r="B136" s="95" t="s">
        <v>53</v>
      </c>
      <c r="C136" s="160" t="s">
        <v>33</v>
      </c>
      <c r="D136" s="161" t="s">
        <v>35</v>
      </c>
      <c r="E136" s="62">
        <v>930</v>
      </c>
      <c r="F136" s="62">
        <v>578</v>
      </c>
      <c r="G136" s="62">
        <f>Data[[#This Row],[Qty Delivered]]-Data[[#This Row],[Qty Sold]]</f>
        <v>352</v>
      </c>
      <c r="H136" s="63">
        <v>2047</v>
      </c>
      <c r="I136" s="64">
        <f>(Data[[#This Row],[Gross]]*13%)+(Data[[#This Row],[Gross]]*13%)*15%+23</f>
        <v>329.0265</v>
      </c>
      <c r="J136" s="129">
        <f>Data[[#This Row],[Gross]]-Data[[#This Row],[Deduction]]</f>
        <v>1717.9735000000001</v>
      </c>
    </row>
    <row r="137" spans="1:10">
      <c r="A137" s="66">
        <v>44018</v>
      </c>
      <c r="B137" s="95" t="s">
        <v>53</v>
      </c>
      <c r="C137" s="160" t="s">
        <v>33</v>
      </c>
      <c r="D137" s="161" t="s">
        <v>34</v>
      </c>
      <c r="E137" s="62">
        <v>233</v>
      </c>
      <c r="F137" s="62">
        <v>233</v>
      </c>
      <c r="G137" s="62">
        <f>Data[[#This Row],[Qty Delivered]]-Data[[#This Row],[Qty Sold]]</f>
        <v>0</v>
      </c>
      <c r="H137" s="63">
        <v>22380</v>
      </c>
      <c r="I137" s="64">
        <f>(Data[[#This Row],[Gross]]*13%)+(Data[[#This Row],[Gross]]*13%)*15%+23</f>
        <v>3368.81</v>
      </c>
      <c r="J137" s="129">
        <f>Data[[#This Row],[Gross]]-Data[[#This Row],[Deduction]]</f>
        <v>19011.189999999999</v>
      </c>
    </row>
    <row r="138" spans="1:10">
      <c r="A138" s="66">
        <v>44018</v>
      </c>
      <c r="B138" s="95" t="s">
        <v>53</v>
      </c>
      <c r="C138" s="160" t="s">
        <v>33</v>
      </c>
      <c r="D138" s="161" t="s">
        <v>35</v>
      </c>
      <c r="E138" s="62">
        <v>638</v>
      </c>
      <c r="F138" s="62">
        <v>638</v>
      </c>
      <c r="G138" s="62">
        <f>Data[[#This Row],[Qty Delivered]]-Data[[#This Row],[Qty Sold]]</f>
        <v>0</v>
      </c>
      <c r="H138" s="63">
        <v>2497</v>
      </c>
      <c r="I138" s="64">
        <f>(Data[[#This Row],[Gross]]*13%)+(Data[[#This Row],[Gross]]*13%)*15%+23</f>
        <v>396.30150000000003</v>
      </c>
      <c r="J138" s="129">
        <f>Data[[#This Row],[Gross]]-Data[[#This Row],[Deduction]]</f>
        <v>2100.6985</v>
      </c>
    </row>
    <row r="139" spans="1:10">
      <c r="A139" s="66">
        <v>44021</v>
      </c>
      <c r="B139" s="95" t="s">
        <v>53</v>
      </c>
      <c r="C139" s="160" t="s">
        <v>33</v>
      </c>
      <c r="D139" s="161" t="s">
        <v>34</v>
      </c>
      <c r="E139" s="62">
        <v>235</v>
      </c>
      <c r="F139" s="62">
        <v>235</v>
      </c>
      <c r="G139" s="62">
        <f>Data[[#This Row],[Qty Delivered]]-Data[[#This Row],[Qty Sold]]</f>
        <v>0</v>
      </c>
      <c r="H139" s="63">
        <v>14030</v>
      </c>
      <c r="I139" s="64">
        <f>(Data[[#This Row],[Gross]]*13%)+(Data[[#This Row],[Gross]]*13%)*15%+23</f>
        <v>2120.4850000000001</v>
      </c>
      <c r="J139" s="129">
        <f>Data[[#This Row],[Gross]]-Data[[#This Row],[Deduction]]</f>
        <v>11909.514999999999</v>
      </c>
    </row>
    <row r="140" spans="1:10">
      <c r="A140" s="66">
        <v>44021</v>
      </c>
      <c r="B140" s="95" t="s">
        <v>53</v>
      </c>
      <c r="C140" s="160" t="s">
        <v>33</v>
      </c>
      <c r="D140" s="161" t="s">
        <v>34</v>
      </c>
      <c r="E140" s="62">
        <v>240</v>
      </c>
      <c r="F140" s="62">
        <v>240</v>
      </c>
      <c r="G140" s="62">
        <f>Data[[#This Row],[Qty Delivered]]-Data[[#This Row],[Qty Sold]]</f>
        <v>0</v>
      </c>
      <c r="H140" s="63">
        <v>16800</v>
      </c>
      <c r="I140" s="64">
        <f>(Data[[#This Row],[Gross]]*13%)+(Data[[#This Row],[Gross]]*13%)*15%+23</f>
        <v>2534.6</v>
      </c>
      <c r="J140" s="129">
        <f>Data[[#This Row],[Gross]]-Data[[#This Row],[Deduction]]</f>
        <v>14265.4</v>
      </c>
    </row>
    <row r="141" spans="1:10">
      <c r="A141" s="66">
        <v>44022</v>
      </c>
      <c r="B141" s="95" t="s">
        <v>53</v>
      </c>
      <c r="C141" s="160" t="s">
        <v>22</v>
      </c>
      <c r="D141" s="161" t="s">
        <v>34</v>
      </c>
      <c r="E141" s="62">
        <v>78</v>
      </c>
      <c r="F141" s="62">
        <v>78</v>
      </c>
      <c r="G141" s="62">
        <f>Data[[#This Row],[Qty Delivered]]-Data[[#This Row],[Qty Sold]]</f>
        <v>0</v>
      </c>
      <c r="H141" s="63">
        <v>3880</v>
      </c>
      <c r="I141" s="64">
        <f>(Data[[#This Row],[Gross]]*13%)+(Data[[#This Row],[Gross]]*13%)*15%+23</f>
        <v>603.06000000000006</v>
      </c>
      <c r="J141" s="129">
        <f>Data[[#This Row],[Gross]]-Data[[#This Row],[Deduction]]</f>
        <v>3276.94</v>
      </c>
    </row>
    <row r="142" spans="1:10">
      <c r="A142" s="66">
        <v>44025</v>
      </c>
      <c r="B142" s="95" t="s">
        <v>53</v>
      </c>
      <c r="C142" s="160" t="s">
        <v>36</v>
      </c>
      <c r="D142" s="161" t="s">
        <v>34</v>
      </c>
      <c r="E142" s="62">
        <v>200</v>
      </c>
      <c r="F142" s="62">
        <v>200</v>
      </c>
      <c r="G142" s="62">
        <f>Data[[#This Row],[Qty Delivered]]-Data[[#This Row],[Qty Sold]]</f>
        <v>0</v>
      </c>
      <c r="H142" s="63">
        <v>9315</v>
      </c>
      <c r="I142" s="64">
        <f>(Data[[#This Row],[Gross]]*13%)+(Data[[#This Row],[Gross]]*13%)*15%+23</f>
        <v>1415.5925</v>
      </c>
      <c r="J142" s="129">
        <f>Data[[#This Row],[Gross]]-Data[[#This Row],[Deduction]]</f>
        <v>7899.4075000000003</v>
      </c>
    </row>
    <row r="143" spans="1:10">
      <c r="A143" s="66">
        <v>44026</v>
      </c>
      <c r="B143" s="95" t="s">
        <v>53</v>
      </c>
      <c r="C143" s="160" t="s">
        <v>22</v>
      </c>
      <c r="D143" s="161" t="s">
        <v>34</v>
      </c>
      <c r="E143" s="62">
        <v>200</v>
      </c>
      <c r="F143" s="62">
        <v>115</v>
      </c>
      <c r="G143" s="62">
        <f>Data[[#This Row],[Qty Delivered]]-Data[[#This Row],[Qty Sold]]</f>
        <v>85</v>
      </c>
      <c r="H143" s="63">
        <v>3620</v>
      </c>
      <c r="I143" s="64">
        <f>(Data[[#This Row],[Gross]]*13%)+(Data[[#This Row],[Gross]]*13%)*15%+23</f>
        <v>564.19000000000005</v>
      </c>
      <c r="J143" s="129">
        <f>Data[[#This Row],[Gross]]-Data[[#This Row],[Deduction]]</f>
        <v>3055.81</v>
      </c>
    </row>
    <row r="144" spans="1:10">
      <c r="A144" s="66">
        <v>44026</v>
      </c>
      <c r="B144" s="95" t="s">
        <v>53</v>
      </c>
      <c r="C144" s="160" t="s">
        <v>37</v>
      </c>
      <c r="D144" s="161" t="s">
        <v>34</v>
      </c>
      <c r="E144" s="62">
        <v>152</v>
      </c>
      <c r="F144" s="62">
        <v>152</v>
      </c>
      <c r="G144" s="62">
        <f>Data[[#This Row],[Qty Delivered]]-Data[[#This Row],[Qty Sold]]</f>
        <v>0</v>
      </c>
      <c r="H144" s="63">
        <v>6346</v>
      </c>
      <c r="I144" s="64">
        <f>(Data[[#This Row],[Gross]]*13%)+(Data[[#This Row],[Gross]]*13%)*15%+23</f>
        <v>971.72699999999998</v>
      </c>
      <c r="J144" s="129">
        <f>Data[[#This Row],[Gross]]-Data[[#This Row],[Deduction]]</f>
        <v>5374.2730000000001</v>
      </c>
    </row>
    <row r="145" spans="1:10">
      <c r="A145" s="66">
        <v>44026</v>
      </c>
      <c r="B145" s="95" t="s">
        <v>53</v>
      </c>
      <c r="C145" s="160" t="s">
        <v>108</v>
      </c>
      <c r="D145" s="161" t="s">
        <v>34</v>
      </c>
      <c r="E145" s="62">
        <v>200</v>
      </c>
      <c r="F145" s="62">
        <v>200</v>
      </c>
      <c r="G145" s="62">
        <f>Data[[#This Row],[Qty Delivered]]-Data[[#This Row],[Qty Sold]]</f>
        <v>0</v>
      </c>
      <c r="H145" s="63">
        <v>9755</v>
      </c>
      <c r="I145" s="64">
        <f>(Data[[#This Row],[Gross]]*13%)+(Data[[#This Row],[Gross]]*13%)*15%+23</f>
        <v>1481.3725000000002</v>
      </c>
      <c r="J145" s="129">
        <f>Data[[#This Row],[Gross]]-Data[[#This Row],[Deduction]]</f>
        <v>8273.6275000000005</v>
      </c>
    </row>
    <row r="146" spans="1:10">
      <c r="A146" s="66">
        <v>44034</v>
      </c>
      <c r="B146" s="95" t="s">
        <v>53</v>
      </c>
      <c r="C146" s="160" t="s">
        <v>33</v>
      </c>
      <c r="D146" s="161" t="s">
        <v>34</v>
      </c>
      <c r="E146" s="62">
        <v>200</v>
      </c>
      <c r="F146" s="62">
        <v>200</v>
      </c>
      <c r="G146" s="62">
        <f>Data[[#This Row],[Qty Delivered]]-Data[[#This Row],[Qty Sold]]</f>
        <v>0</v>
      </c>
      <c r="H146" s="63">
        <v>14000</v>
      </c>
      <c r="I146" s="64">
        <f>(Data[[#This Row],[Gross]]*13%)+(Data[[#This Row],[Gross]]*13%)*15%+23</f>
        <v>2116</v>
      </c>
      <c r="J146" s="129">
        <f>Data[[#This Row],[Gross]]-Data[[#This Row],[Deduction]]</f>
        <v>11884</v>
      </c>
    </row>
    <row r="147" spans="1:10">
      <c r="A147" s="66">
        <v>44034</v>
      </c>
      <c r="B147" s="95" t="s">
        <v>53</v>
      </c>
      <c r="C147" s="160" t="s">
        <v>33</v>
      </c>
      <c r="D147" s="161" t="s">
        <v>34</v>
      </c>
      <c r="E147" s="62">
        <v>200</v>
      </c>
      <c r="F147" s="62">
        <v>200</v>
      </c>
      <c r="G147" s="62">
        <f>Data[[#This Row],[Qty Delivered]]-Data[[#This Row],[Qty Sold]]</f>
        <v>0</v>
      </c>
      <c r="H147" s="63">
        <v>14000</v>
      </c>
      <c r="I147" s="64">
        <f>(Data[[#This Row],[Gross]]*13%)+(Data[[#This Row],[Gross]]*13%)*15%+23</f>
        <v>2116</v>
      </c>
      <c r="J147" s="129">
        <f>Data[[#This Row],[Gross]]-Data[[#This Row],[Deduction]]</f>
        <v>11884</v>
      </c>
    </row>
    <row r="148" spans="1:10">
      <c r="A148" s="66">
        <v>44035</v>
      </c>
      <c r="B148" s="95" t="s">
        <v>53</v>
      </c>
      <c r="C148" s="160" t="s">
        <v>22</v>
      </c>
      <c r="D148" s="161" t="s">
        <v>34</v>
      </c>
      <c r="E148" s="62">
        <v>96</v>
      </c>
      <c r="F148" s="62">
        <v>96</v>
      </c>
      <c r="G148" s="62">
        <f>Data[[#This Row],[Qty Delivered]]-Data[[#This Row],[Qty Sold]]</f>
        <v>0</v>
      </c>
      <c r="H148" s="63">
        <v>5240</v>
      </c>
      <c r="I148" s="64">
        <f>(Data[[#This Row],[Gross]]*13%)+(Data[[#This Row],[Gross]]*13%)*15%+23</f>
        <v>806.38000000000011</v>
      </c>
      <c r="J148" s="129">
        <f>Data[[#This Row],[Gross]]-Data[[#This Row],[Deduction]]</f>
        <v>4433.62</v>
      </c>
    </row>
    <row r="149" spans="1:10">
      <c r="A149" s="66">
        <v>44039</v>
      </c>
      <c r="B149" s="95" t="s">
        <v>53</v>
      </c>
      <c r="C149" s="160" t="s">
        <v>37</v>
      </c>
      <c r="D149" s="161" t="s">
        <v>34</v>
      </c>
      <c r="E149" s="62">
        <v>150</v>
      </c>
      <c r="F149" s="62">
        <v>150</v>
      </c>
      <c r="G149" s="62">
        <f>Data[[#This Row],[Qty Delivered]]-Data[[#This Row],[Qty Sold]]</f>
        <v>0</v>
      </c>
      <c r="H149" s="63">
        <v>14000</v>
      </c>
      <c r="I149" s="64">
        <f>(Data[[#This Row],[Gross]]*13%)+(Data[[#This Row],[Gross]]*13%)*15%+23</f>
        <v>2116</v>
      </c>
      <c r="J149" s="129">
        <f>Data[[#This Row],[Gross]]-Data[[#This Row],[Deduction]]</f>
        <v>11884</v>
      </c>
    </row>
    <row r="150" spans="1:10">
      <c r="A150" s="66">
        <v>44039</v>
      </c>
      <c r="B150" s="95" t="s">
        <v>53</v>
      </c>
      <c r="C150" s="160" t="s">
        <v>22</v>
      </c>
      <c r="D150" s="161" t="s">
        <v>34</v>
      </c>
      <c r="E150" s="62">
        <v>182</v>
      </c>
      <c r="F150" s="62">
        <v>182</v>
      </c>
      <c r="G150" s="62">
        <f>Data[[#This Row],[Qty Delivered]]-Data[[#This Row],[Qty Sold]]</f>
        <v>0</v>
      </c>
      <c r="H150" s="63">
        <v>12324</v>
      </c>
      <c r="I150" s="64">
        <f>(Data[[#This Row],[Gross]]*13%)+(Data[[#This Row],[Gross]]*13%)*15%+23</f>
        <v>1865.4380000000001</v>
      </c>
      <c r="J150" s="129">
        <f>Data[[#This Row],[Gross]]-Data[[#This Row],[Deduction]]</f>
        <v>10458.562</v>
      </c>
    </row>
    <row r="151" spans="1:10">
      <c r="A151" s="66">
        <v>44039</v>
      </c>
      <c r="B151" s="95" t="s">
        <v>53</v>
      </c>
      <c r="C151" s="160" t="s">
        <v>36</v>
      </c>
      <c r="D151" s="161" t="s">
        <v>34</v>
      </c>
      <c r="E151" s="62">
        <v>162</v>
      </c>
      <c r="F151" s="62">
        <v>162</v>
      </c>
      <c r="G151" s="62">
        <f>Data[[#This Row],[Qty Delivered]]-Data[[#This Row],[Qty Sold]]</f>
        <v>0</v>
      </c>
      <c r="H151" s="63">
        <v>15120</v>
      </c>
      <c r="I151" s="64">
        <f>(Data[[#This Row],[Gross]]*13%)+(Data[[#This Row],[Gross]]*13%)*15%+23</f>
        <v>2283.44</v>
      </c>
      <c r="J151" s="129">
        <f>Data[[#This Row],[Gross]]-Data[[#This Row],[Deduction]]</f>
        <v>12836.56</v>
      </c>
    </row>
    <row r="152" spans="1:10">
      <c r="A152" s="66">
        <v>44039</v>
      </c>
      <c r="B152" s="95" t="s">
        <v>53</v>
      </c>
      <c r="C152" s="160" t="s">
        <v>33</v>
      </c>
      <c r="D152" s="161" t="s">
        <v>34</v>
      </c>
      <c r="E152" s="61">
        <v>133</v>
      </c>
      <c r="F152" s="61">
        <v>133</v>
      </c>
      <c r="G152" s="62">
        <f>Data[[#This Row],[Qty Delivered]]-Data[[#This Row],[Qty Sold]]</f>
        <v>0</v>
      </c>
      <c r="H152" s="63">
        <v>13840</v>
      </c>
      <c r="I152" s="64">
        <f>(Data[[#This Row],[Gross]]*13%)+(Data[[#This Row],[Gross]]*13%)*15%+23</f>
        <v>2092.08</v>
      </c>
      <c r="J152" s="129">
        <f>Data[[#This Row],[Gross]]-Data[[#This Row],[Deduction]]</f>
        <v>11747.92</v>
      </c>
    </row>
    <row r="153" spans="1:10">
      <c r="A153" s="66">
        <v>44040</v>
      </c>
      <c r="B153" s="95" t="s">
        <v>53</v>
      </c>
      <c r="C153" s="160" t="s">
        <v>37</v>
      </c>
      <c r="D153" s="161" t="s">
        <v>34</v>
      </c>
      <c r="E153" s="61">
        <v>160</v>
      </c>
      <c r="F153" s="61">
        <v>160</v>
      </c>
      <c r="G153" s="62">
        <f>Data[[#This Row],[Qty Delivered]]-Data[[#This Row],[Qty Sold]]</f>
        <v>0</v>
      </c>
      <c r="H153" s="63">
        <v>14750</v>
      </c>
      <c r="I153" s="64">
        <f>(Data[[#This Row],[Gross]]*13%)+(Data[[#This Row],[Gross]]*13%)*15%+23</f>
        <v>2228.125</v>
      </c>
      <c r="J153" s="129">
        <f>Data[[#This Row],[Gross]]-Data[[#This Row],[Deduction]]</f>
        <v>12521.875</v>
      </c>
    </row>
    <row r="154" spans="1:10">
      <c r="A154" s="66">
        <v>44040</v>
      </c>
      <c r="B154" s="95" t="s">
        <v>53</v>
      </c>
      <c r="C154" s="160" t="s">
        <v>37</v>
      </c>
      <c r="D154" s="161" t="s">
        <v>34</v>
      </c>
      <c r="E154" s="61">
        <v>135</v>
      </c>
      <c r="F154" s="61">
        <v>135</v>
      </c>
      <c r="G154" s="62">
        <f>Data[[#This Row],[Qty Delivered]]-Data[[#This Row],[Qty Sold]]</f>
        <v>0</v>
      </c>
      <c r="H154" s="63">
        <v>12150</v>
      </c>
      <c r="I154" s="64">
        <f>(Data[[#This Row],[Gross]]*13%)+(Data[[#This Row],[Gross]]*13%)*15%+23</f>
        <v>1839.425</v>
      </c>
      <c r="J154" s="129">
        <f>Data[[#This Row],[Gross]]-Data[[#This Row],[Deduction]]</f>
        <v>10310.575000000001</v>
      </c>
    </row>
    <row r="155" spans="1:10">
      <c r="A155" s="66">
        <v>44041</v>
      </c>
      <c r="B155" s="95" t="s">
        <v>53</v>
      </c>
      <c r="C155" s="160" t="s">
        <v>22</v>
      </c>
      <c r="D155" s="161" t="s">
        <v>34</v>
      </c>
      <c r="E155" s="61">
        <v>150</v>
      </c>
      <c r="F155" s="61">
        <v>128</v>
      </c>
      <c r="G155" s="62">
        <f>Data[[#This Row],[Qty Delivered]]-Data[[#This Row],[Qty Sold]]</f>
        <v>22</v>
      </c>
      <c r="H155" s="63">
        <v>10813.65</v>
      </c>
      <c r="I155" s="64">
        <f>(Data[[#This Row],[Gross]]*13%)+(Data[[#This Row],[Gross]]*13%)*15%+23</f>
        <v>1639.6406750000001</v>
      </c>
      <c r="J155" s="129">
        <f>Data[[#This Row],[Gross]]-Data[[#This Row],[Deduction]]</f>
        <v>9174.0093249999991</v>
      </c>
    </row>
    <row r="156" spans="1:10">
      <c r="A156" s="66">
        <v>44041</v>
      </c>
      <c r="B156" s="95" t="s">
        <v>53</v>
      </c>
      <c r="C156" s="160" t="s">
        <v>37</v>
      </c>
      <c r="D156" s="161" t="s">
        <v>34</v>
      </c>
      <c r="E156" s="61">
        <v>172</v>
      </c>
      <c r="F156" s="61">
        <v>172</v>
      </c>
      <c r="G156" s="62">
        <f>Data[[#This Row],[Qty Delivered]]-Data[[#This Row],[Qty Sold]]</f>
        <v>0</v>
      </c>
      <c r="H156" s="63">
        <v>17840</v>
      </c>
      <c r="I156" s="64">
        <f>(Data[[#This Row],[Gross]]*13%)+(Data[[#This Row],[Gross]]*13%)*15%+23</f>
        <v>2690.0800000000004</v>
      </c>
      <c r="J156" s="129">
        <f>Data[[#This Row],[Gross]]-Data[[#This Row],[Deduction]]</f>
        <v>15149.92</v>
      </c>
    </row>
    <row r="157" spans="1:10">
      <c r="A157" s="66">
        <v>44042</v>
      </c>
      <c r="B157" s="95" t="s">
        <v>53</v>
      </c>
      <c r="C157" s="160" t="s">
        <v>33</v>
      </c>
      <c r="D157" s="161" t="s">
        <v>34</v>
      </c>
      <c r="E157" s="61">
        <v>150</v>
      </c>
      <c r="F157" s="61">
        <v>150</v>
      </c>
      <c r="G157" s="62">
        <f>Data[[#This Row],[Qty Delivered]]-Data[[#This Row],[Qty Sold]]</f>
        <v>0</v>
      </c>
      <c r="H157" s="63">
        <v>15880</v>
      </c>
      <c r="I157" s="64">
        <f>(Data[[#This Row],[Gross]]*13%)+(Data[[#This Row],[Gross]]*13%)*15%+23</f>
        <v>2397.06</v>
      </c>
      <c r="J157" s="129">
        <f>Data[[#This Row],[Gross]]-Data[[#This Row],[Deduction]]</f>
        <v>13482.94</v>
      </c>
    </row>
    <row r="158" spans="1:10">
      <c r="A158" s="66">
        <v>44046</v>
      </c>
      <c r="B158" s="95" t="s">
        <v>53</v>
      </c>
      <c r="C158" s="160" t="s">
        <v>39</v>
      </c>
      <c r="D158" s="161" t="s">
        <v>34</v>
      </c>
      <c r="E158" s="61">
        <v>172</v>
      </c>
      <c r="F158" s="61">
        <v>135</v>
      </c>
      <c r="G158" s="62">
        <f>Data[[#This Row],[Qty Delivered]]-Data[[#This Row],[Qty Sold]]</f>
        <v>37</v>
      </c>
      <c r="H158" s="63">
        <v>7080</v>
      </c>
      <c r="I158" s="64">
        <f>(Data[[#This Row],[Gross]]*13%)+(Data[[#This Row],[Gross]]*13%)*15%+23</f>
        <v>1081.46</v>
      </c>
      <c r="J158" s="129">
        <f>Data[[#This Row],[Gross]]-Data[[#This Row],[Deduction]]</f>
        <v>5998.54</v>
      </c>
    </row>
    <row r="159" spans="1:10">
      <c r="A159" s="66">
        <v>44046</v>
      </c>
      <c r="B159" s="95" t="s">
        <v>53</v>
      </c>
      <c r="C159" s="160" t="s">
        <v>39</v>
      </c>
      <c r="D159" s="161" t="s">
        <v>34</v>
      </c>
      <c r="E159" s="61">
        <v>183</v>
      </c>
      <c r="F159" s="61">
        <v>183</v>
      </c>
      <c r="G159" s="62">
        <f>Data[[#This Row],[Qty Delivered]]-Data[[#This Row],[Qty Sold]]</f>
        <v>0</v>
      </c>
      <c r="H159" s="63">
        <v>16736</v>
      </c>
      <c r="I159" s="64">
        <f>(Data[[#This Row],[Gross]]*13%)+(Data[[#This Row],[Gross]]*13%)*15%+23</f>
        <v>2525.0320000000002</v>
      </c>
      <c r="J159" s="129">
        <f>Data[[#This Row],[Gross]]-Data[[#This Row],[Deduction]]</f>
        <v>14210.968000000001</v>
      </c>
    </row>
    <row r="160" spans="1:10">
      <c r="A160" s="66">
        <v>44046</v>
      </c>
      <c r="B160" s="95" t="s">
        <v>53</v>
      </c>
      <c r="C160" s="160" t="s">
        <v>37</v>
      </c>
      <c r="D160" s="161" t="s">
        <v>34</v>
      </c>
      <c r="E160" s="61">
        <v>180</v>
      </c>
      <c r="F160" s="61">
        <v>180</v>
      </c>
      <c r="G160" s="62">
        <f>Data[[#This Row],[Qty Delivered]]-Data[[#This Row],[Qty Sold]]</f>
        <v>0</v>
      </c>
      <c r="H160" s="63">
        <v>12900</v>
      </c>
      <c r="I160" s="64">
        <f>(Data[[#This Row],[Gross]]*13%)+(Data[[#This Row],[Gross]]*13%)*15%+23</f>
        <v>1951.55</v>
      </c>
      <c r="J160" s="129">
        <f>Data[[#This Row],[Gross]]-Data[[#This Row],[Deduction]]</f>
        <v>10948.45</v>
      </c>
    </row>
    <row r="161" spans="1:10">
      <c r="A161" s="66">
        <v>44047</v>
      </c>
      <c r="B161" s="95" t="s">
        <v>53</v>
      </c>
      <c r="C161" s="160" t="s">
        <v>37</v>
      </c>
      <c r="D161" s="161" t="s">
        <v>34</v>
      </c>
      <c r="E161" s="61">
        <v>139</v>
      </c>
      <c r="F161" s="61">
        <v>139</v>
      </c>
      <c r="G161" s="62">
        <f>Data[[#This Row],[Qty Delivered]]-Data[[#This Row],[Qty Sold]]</f>
        <v>0</v>
      </c>
      <c r="H161" s="63">
        <v>10930</v>
      </c>
      <c r="I161" s="64">
        <f>(Data[[#This Row],[Gross]]*13%)+(Data[[#This Row],[Gross]]*13%)*15%+23</f>
        <v>1657.0350000000001</v>
      </c>
      <c r="J161" s="129">
        <f>Data[[#This Row],[Gross]]-Data[[#This Row],[Deduction]]</f>
        <v>9272.9650000000001</v>
      </c>
    </row>
    <row r="162" spans="1:10">
      <c r="A162" s="66">
        <v>44047</v>
      </c>
      <c r="B162" s="95" t="s">
        <v>53</v>
      </c>
      <c r="C162" s="160" t="s">
        <v>33</v>
      </c>
      <c r="D162" s="161" t="s">
        <v>34</v>
      </c>
      <c r="E162" s="61">
        <v>150</v>
      </c>
      <c r="F162" s="61">
        <v>150</v>
      </c>
      <c r="G162" s="62">
        <f>Data[[#This Row],[Qty Delivered]]-Data[[#This Row],[Qty Sold]]</f>
        <v>0</v>
      </c>
      <c r="H162" s="63">
        <v>10300</v>
      </c>
      <c r="I162" s="64">
        <f>(Data[[#This Row],[Gross]]*13%)+(Data[[#This Row],[Gross]]*13%)*15%+23</f>
        <v>1562.85</v>
      </c>
      <c r="J162" s="129">
        <f>Data[[#This Row],[Gross]]-Data[[#This Row],[Deduction]]</f>
        <v>8737.15</v>
      </c>
    </row>
    <row r="163" spans="1:10">
      <c r="A163" s="66">
        <v>44047</v>
      </c>
      <c r="B163" s="95" t="s">
        <v>53</v>
      </c>
      <c r="C163" s="160" t="s">
        <v>37</v>
      </c>
      <c r="D163" s="161" t="s">
        <v>34</v>
      </c>
      <c r="E163" s="61">
        <v>144</v>
      </c>
      <c r="F163" s="61">
        <v>144</v>
      </c>
      <c r="G163" s="62">
        <f>Data[[#This Row],[Qty Delivered]]-Data[[#This Row],[Qty Sold]]</f>
        <v>0</v>
      </c>
      <c r="H163" s="63">
        <v>7020</v>
      </c>
      <c r="I163" s="64">
        <f>(Data[[#This Row],[Gross]]*13%)+(Data[[#This Row],[Gross]]*13%)*15%+23</f>
        <v>1072.49</v>
      </c>
      <c r="J163" s="129">
        <f>Data[[#This Row],[Gross]]-Data[[#This Row],[Deduction]]</f>
        <v>5947.51</v>
      </c>
    </row>
    <row r="164" spans="1:10">
      <c r="A164" s="66">
        <v>44048</v>
      </c>
      <c r="B164" s="95" t="s">
        <v>53</v>
      </c>
      <c r="C164" s="160" t="s">
        <v>8</v>
      </c>
      <c r="D164" s="161" t="s">
        <v>34</v>
      </c>
      <c r="E164" s="61">
        <v>150</v>
      </c>
      <c r="F164" s="61">
        <v>150</v>
      </c>
      <c r="G164" s="62">
        <f>Data[[#This Row],[Qty Delivered]]-Data[[#This Row],[Qty Sold]]</f>
        <v>0</v>
      </c>
      <c r="H164" s="63">
        <v>15000</v>
      </c>
      <c r="I164" s="64">
        <f>(Data[[#This Row],[Gross]]*13%)+(Data[[#This Row],[Gross]]*13%)*15%+23</f>
        <v>2265.5</v>
      </c>
      <c r="J164" s="129">
        <f>Data[[#This Row],[Gross]]-Data[[#This Row],[Deduction]]</f>
        <v>12734.5</v>
      </c>
    </row>
    <row r="165" spans="1:10">
      <c r="A165" s="66">
        <v>44048</v>
      </c>
      <c r="B165" s="95" t="s">
        <v>53</v>
      </c>
      <c r="C165" s="160" t="s">
        <v>8</v>
      </c>
      <c r="D165" s="161" t="s">
        <v>34</v>
      </c>
      <c r="E165" s="61">
        <v>150</v>
      </c>
      <c r="F165" s="61">
        <v>150</v>
      </c>
      <c r="G165" s="62">
        <f>Data[[#This Row],[Qty Delivered]]-Data[[#This Row],[Qty Sold]]</f>
        <v>0</v>
      </c>
      <c r="H165" s="63">
        <v>15000</v>
      </c>
      <c r="I165" s="64">
        <f>(Data[[#This Row],[Gross]]*13%)+(Data[[#This Row],[Gross]]*13%)*15%+23</f>
        <v>2265.5</v>
      </c>
      <c r="J165" s="129">
        <f>Data[[#This Row],[Gross]]-Data[[#This Row],[Deduction]]</f>
        <v>12734.5</v>
      </c>
    </row>
    <row r="166" spans="1:10">
      <c r="A166" s="66">
        <v>44048</v>
      </c>
      <c r="B166" s="95" t="s">
        <v>53</v>
      </c>
      <c r="C166" s="160" t="s">
        <v>8</v>
      </c>
      <c r="D166" s="161" t="s">
        <v>34</v>
      </c>
      <c r="E166" s="61">
        <v>150</v>
      </c>
      <c r="F166" s="61">
        <v>150</v>
      </c>
      <c r="G166" s="62">
        <f>Data[[#This Row],[Qty Delivered]]-Data[[#This Row],[Qty Sold]]</f>
        <v>0</v>
      </c>
      <c r="H166" s="63">
        <v>15000</v>
      </c>
      <c r="I166" s="64">
        <f>(Data[[#This Row],[Gross]]*13%)+(Data[[#This Row],[Gross]]*13%)*15%+23</f>
        <v>2265.5</v>
      </c>
      <c r="J166" s="129">
        <f>Data[[#This Row],[Gross]]-Data[[#This Row],[Deduction]]</f>
        <v>12734.5</v>
      </c>
    </row>
    <row r="167" spans="1:10">
      <c r="A167" s="66">
        <v>44049</v>
      </c>
      <c r="B167" s="95" t="s">
        <v>53</v>
      </c>
      <c r="C167" s="160" t="s">
        <v>37</v>
      </c>
      <c r="D167" s="161" t="s">
        <v>34</v>
      </c>
      <c r="E167" s="61">
        <v>141</v>
      </c>
      <c r="F167" s="61">
        <v>70</v>
      </c>
      <c r="G167" s="62">
        <f>Data[[#This Row],[Qty Delivered]]-Data[[#This Row],[Qty Sold]]</f>
        <v>71</v>
      </c>
      <c r="H167" s="63">
        <v>2130</v>
      </c>
      <c r="I167" s="64">
        <f>(Data[[#This Row],[Gross]]*13%)+(Data[[#This Row],[Gross]]*13%)*15%+23</f>
        <v>341.43500000000006</v>
      </c>
      <c r="J167" s="129">
        <f>Data[[#This Row],[Gross]]-Data[[#This Row],[Deduction]]</f>
        <v>1788.5650000000001</v>
      </c>
    </row>
    <row r="168" spans="1:10">
      <c r="A168" s="66">
        <v>44049</v>
      </c>
      <c r="B168" s="95" t="s">
        <v>53</v>
      </c>
      <c r="C168" s="160" t="s">
        <v>33</v>
      </c>
      <c r="D168" s="161" t="s">
        <v>34</v>
      </c>
      <c r="E168" s="61">
        <v>150</v>
      </c>
      <c r="F168" s="61">
        <v>69</v>
      </c>
      <c r="G168" s="62">
        <f>Data[[#This Row],[Qty Delivered]]-Data[[#This Row],[Qty Sold]]</f>
        <v>81</v>
      </c>
      <c r="H168" s="63">
        <v>3520</v>
      </c>
      <c r="I168" s="64">
        <f>(Data[[#This Row],[Gross]]*13%)+(Data[[#This Row],[Gross]]*13%)*15%+23</f>
        <v>549.24</v>
      </c>
      <c r="J168" s="129">
        <f>Data[[#This Row],[Gross]]-Data[[#This Row],[Deduction]]</f>
        <v>2970.76</v>
      </c>
    </row>
    <row r="169" spans="1:10">
      <c r="A169" s="66">
        <v>44053</v>
      </c>
      <c r="B169" s="95" t="s">
        <v>53</v>
      </c>
      <c r="C169" s="160" t="s">
        <v>8</v>
      </c>
      <c r="D169" s="161" t="s">
        <v>34</v>
      </c>
      <c r="E169" s="61">
        <v>150</v>
      </c>
      <c r="F169" s="61">
        <v>150</v>
      </c>
      <c r="G169" s="62">
        <f>Data[[#This Row],[Qty Delivered]]-Data[[#This Row],[Qty Sold]]</f>
        <v>0</v>
      </c>
      <c r="H169" s="63">
        <v>12000</v>
      </c>
      <c r="I169" s="64">
        <f>(Data[[#This Row],[Gross]]*13%)+(Data[[#This Row],[Gross]]*13%)*15%+23</f>
        <v>1817</v>
      </c>
      <c r="J169" s="129">
        <f>Data[[#This Row],[Gross]]-Data[[#This Row],[Deduction]]</f>
        <v>10183</v>
      </c>
    </row>
    <row r="170" spans="1:10">
      <c r="A170" s="66">
        <v>44054</v>
      </c>
      <c r="B170" s="95" t="s">
        <v>53</v>
      </c>
      <c r="C170" s="160" t="s">
        <v>8</v>
      </c>
      <c r="D170" s="161" t="s">
        <v>34</v>
      </c>
      <c r="E170" s="61">
        <v>150</v>
      </c>
      <c r="F170" s="61">
        <v>150</v>
      </c>
      <c r="G170" s="62">
        <f>Data[[#This Row],[Qty Delivered]]-Data[[#This Row],[Qty Sold]]</f>
        <v>0</v>
      </c>
      <c r="H170" s="63">
        <v>9000</v>
      </c>
      <c r="I170" s="64">
        <f>(Data[[#This Row],[Gross]]*13%)+(Data[[#This Row],[Gross]]*13%)*15%+23</f>
        <v>1368.5</v>
      </c>
      <c r="J170" s="129">
        <f>Data[[#This Row],[Gross]]-Data[[#This Row],[Deduction]]</f>
        <v>7631.5</v>
      </c>
    </row>
    <row r="171" spans="1:10">
      <c r="A171" s="66">
        <v>44054</v>
      </c>
      <c r="B171" s="95" t="s">
        <v>53</v>
      </c>
      <c r="C171" s="160" t="s">
        <v>8</v>
      </c>
      <c r="D171" s="161" t="s">
        <v>34</v>
      </c>
      <c r="E171" s="61">
        <v>150</v>
      </c>
      <c r="F171" s="61">
        <v>150</v>
      </c>
      <c r="G171" s="62">
        <f>Data[[#This Row],[Qty Delivered]]-Data[[#This Row],[Qty Sold]]</f>
        <v>0</v>
      </c>
      <c r="H171" s="63">
        <v>9000</v>
      </c>
      <c r="I171" s="64">
        <f>(Data[[#This Row],[Gross]]*13%)+(Data[[#This Row],[Gross]]*13%)*15%+23</f>
        <v>1368.5</v>
      </c>
      <c r="J171" s="129">
        <f>Data[[#This Row],[Gross]]-Data[[#This Row],[Deduction]]</f>
        <v>7631.5</v>
      </c>
    </row>
    <row r="172" spans="1:10">
      <c r="A172" s="66">
        <v>44055</v>
      </c>
      <c r="B172" s="95" t="s">
        <v>53</v>
      </c>
      <c r="C172" s="160" t="s">
        <v>8</v>
      </c>
      <c r="D172" s="161" t="s">
        <v>34</v>
      </c>
      <c r="E172" s="61">
        <v>150</v>
      </c>
      <c r="F172" s="61">
        <v>150</v>
      </c>
      <c r="G172" s="62">
        <f>Data[[#This Row],[Qty Delivered]]-Data[[#This Row],[Qty Sold]]</f>
        <v>0</v>
      </c>
      <c r="H172" s="63">
        <v>3760</v>
      </c>
      <c r="I172" s="64">
        <f>(Data[[#This Row],[Gross]]*13%)+(Data[[#This Row],[Gross]]*13%)*15%+23</f>
        <v>585.12</v>
      </c>
      <c r="J172" s="129">
        <f>Data[[#This Row],[Gross]]-Data[[#This Row],[Deduction]]</f>
        <v>3174.88</v>
      </c>
    </row>
    <row r="173" spans="1:10">
      <c r="A173" s="66">
        <v>44055</v>
      </c>
      <c r="B173" s="95" t="s">
        <v>53</v>
      </c>
      <c r="C173" s="160" t="s">
        <v>8</v>
      </c>
      <c r="D173" s="161" t="s">
        <v>34</v>
      </c>
      <c r="E173" s="61">
        <v>150</v>
      </c>
      <c r="F173" s="61">
        <v>150</v>
      </c>
      <c r="G173" s="62">
        <f>Data[[#This Row],[Qty Delivered]]-Data[[#This Row],[Qty Sold]]</f>
        <v>0</v>
      </c>
      <c r="H173" s="63">
        <v>4500</v>
      </c>
      <c r="I173" s="64">
        <f>(Data[[#This Row],[Gross]]*13%)+(Data[[#This Row],[Gross]]*13%)*15%+23</f>
        <v>695.75</v>
      </c>
      <c r="J173" s="129">
        <f>Data[[#This Row],[Gross]]-Data[[#This Row],[Deduction]]</f>
        <v>3804.25</v>
      </c>
    </row>
    <row r="174" spans="1:10">
      <c r="A174" s="66">
        <v>44055</v>
      </c>
      <c r="B174" s="95" t="s">
        <v>53</v>
      </c>
      <c r="C174" s="160" t="s">
        <v>8</v>
      </c>
      <c r="D174" s="161" t="s">
        <v>34</v>
      </c>
      <c r="E174" s="61">
        <v>150</v>
      </c>
      <c r="F174" s="61">
        <v>150</v>
      </c>
      <c r="G174" s="62">
        <f>Data[[#This Row],[Qty Delivered]]-Data[[#This Row],[Qty Sold]]</f>
        <v>0</v>
      </c>
      <c r="H174" s="63">
        <v>4650</v>
      </c>
      <c r="I174" s="64">
        <f>(Data[[#This Row],[Gross]]*13%)+(Data[[#This Row],[Gross]]*13%)*15%+23</f>
        <v>718.17499999999995</v>
      </c>
      <c r="J174" s="129">
        <f>Data[[#This Row],[Gross]]-Data[[#This Row],[Deduction]]</f>
        <v>3931.8249999999998</v>
      </c>
    </row>
    <row r="175" spans="1:10">
      <c r="A175" s="66">
        <v>44056</v>
      </c>
      <c r="B175" s="95" t="s">
        <v>53</v>
      </c>
      <c r="C175" s="160" t="s">
        <v>8</v>
      </c>
      <c r="D175" s="161" t="s">
        <v>34</v>
      </c>
      <c r="E175" s="61">
        <v>150</v>
      </c>
      <c r="F175" s="61">
        <v>150</v>
      </c>
      <c r="G175" s="62">
        <f>Data[[#This Row],[Qty Delivered]]-Data[[#This Row],[Qty Sold]]</f>
        <v>0</v>
      </c>
      <c r="H175" s="63">
        <v>3000</v>
      </c>
      <c r="I175" s="64">
        <f>(Data[[#This Row],[Gross]]*13%)+(Data[[#This Row],[Gross]]*13%)*15%+23</f>
        <v>471.5</v>
      </c>
      <c r="J175" s="129">
        <f>Data[[#This Row],[Gross]]-Data[[#This Row],[Deduction]]</f>
        <v>2528.5</v>
      </c>
    </row>
    <row r="176" spans="1:10">
      <c r="A176" s="66">
        <v>44056</v>
      </c>
      <c r="B176" s="95" t="s">
        <v>53</v>
      </c>
      <c r="C176" s="160" t="s">
        <v>8</v>
      </c>
      <c r="D176" s="161" t="s">
        <v>34</v>
      </c>
      <c r="E176" s="61">
        <v>150</v>
      </c>
      <c r="F176" s="61">
        <v>150</v>
      </c>
      <c r="G176" s="62">
        <f>Data[[#This Row],[Qty Delivered]]-Data[[#This Row],[Qty Sold]]</f>
        <v>0</v>
      </c>
      <c r="H176" s="63">
        <v>3000</v>
      </c>
      <c r="I176" s="64">
        <f>(Data[[#This Row],[Gross]]*13%)+(Data[[#This Row],[Gross]]*13%)*15%+23</f>
        <v>471.5</v>
      </c>
      <c r="J176" s="129">
        <f>Data[[#This Row],[Gross]]-Data[[#This Row],[Deduction]]</f>
        <v>2528.5</v>
      </c>
    </row>
    <row r="177" spans="1:10">
      <c r="A177" s="66">
        <v>44057</v>
      </c>
      <c r="B177" s="95" t="s">
        <v>53</v>
      </c>
      <c r="C177" s="160" t="s">
        <v>22</v>
      </c>
      <c r="D177" s="161" t="s">
        <v>34</v>
      </c>
      <c r="E177" s="61">
        <v>100</v>
      </c>
      <c r="F177" s="61">
        <v>4</v>
      </c>
      <c r="G177" s="62">
        <f>Data[[#This Row],[Qty Delivered]]-Data[[#This Row],[Qty Sold]]</f>
        <v>96</v>
      </c>
      <c r="H177" s="63">
        <v>120</v>
      </c>
      <c r="I177" s="64">
        <f>(Data[[#This Row],[Gross]]*13%)+(Data[[#This Row],[Gross]]*13%)*15%+23</f>
        <v>40.94</v>
      </c>
      <c r="J177" s="129">
        <f>Data[[#This Row],[Gross]]-Data[[#This Row],[Deduction]]</f>
        <v>79.06</v>
      </c>
    </row>
    <row r="178" spans="1:10">
      <c r="A178" s="66">
        <v>44057</v>
      </c>
      <c r="B178" s="95" t="s">
        <v>53</v>
      </c>
      <c r="C178" s="160" t="s">
        <v>8</v>
      </c>
      <c r="D178" s="161" t="s">
        <v>34</v>
      </c>
      <c r="E178" s="61">
        <v>150</v>
      </c>
      <c r="F178" s="61">
        <v>150</v>
      </c>
      <c r="G178" s="62">
        <f>Data[[#This Row],[Qty Delivered]]-Data[[#This Row],[Qty Sold]]</f>
        <v>0</v>
      </c>
      <c r="H178" s="63">
        <v>3000</v>
      </c>
      <c r="I178" s="64">
        <f>(Data[[#This Row],[Gross]]*13%)+(Data[[#This Row],[Gross]]*13%)*15%+23</f>
        <v>471.5</v>
      </c>
      <c r="J178" s="129">
        <f>Data[[#This Row],[Gross]]-Data[[#This Row],[Deduction]]</f>
        <v>2528.5</v>
      </c>
    </row>
    <row r="179" spans="1:10">
      <c r="A179" s="66">
        <v>44059</v>
      </c>
      <c r="B179" s="95" t="s">
        <v>53</v>
      </c>
      <c r="C179" s="160" t="s">
        <v>8</v>
      </c>
      <c r="D179" s="161" t="s">
        <v>34</v>
      </c>
      <c r="E179" s="61">
        <v>700</v>
      </c>
      <c r="F179" s="61">
        <v>700</v>
      </c>
      <c r="G179" s="62">
        <f>Data[[#This Row],[Qty Delivered]]-Data[[#This Row],[Qty Sold]]</f>
        <v>0</v>
      </c>
      <c r="H179" s="63">
        <v>14000</v>
      </c>
      <c r="I179" s="64">
        <f>(Data[[#This Row],[Gross]]*13%)+(Data[[#This Row],[Gross]]*13%)*15%+23</f>
        <v>2116</v>
      </c>
      <c r="J179" s="129">
        <f>Data[[#This Row],[Gross]]-Data[[#This Row],[Deduction]]</f>
        <v>11884</v>
      </c>
    </row>
    <row r="180" spans="1:10">
      <c r="A180" s="66">
        <v>44060</v>
      </c>
      <c r="B180" s="95" t="s">
        <v>53</v>
      </c>
      <c r="C180" s="160" t="s">
        <v>37</v>
      </c>
      <c r="D180" s="161" t="s">
        <v>34</v>
      </c>
      <c r="E180" s="61">
        <v>450</v>
      </c>
      <c r="F180" s="61">
        <v>268</v>
      </c>
      <c r="G180" s="62">
        <f>Data[[#This Row],[Qty Delivered]]-Data[[#This Row],[Qty Sold]]</f>
        <v>182</v>
      </c>
      <c r="H180" s="63">
        <v>6125</v>
      </c>
      <c r="I180" s="64">
        <f>(Data[[#This Row],[Gross]]*13%)+(Data[[#This Row],[Gross]]*13%)*15%+23</f>
        <v>938.6875</v>
      </c>
      <c r="J180" s="129">
        <f>Data[[#This Row],[Gross]]-Data[[#This Row],[Deduction]]</f>
        <v>5186.3125</v>
      </c>
    </row>
    <row r="181" spans="1:10">
      <c r="A181" s="66">
        <v>44062</v>
      </c>
      <c r="B181" s="95" t="s">
        <v>53</v>
      </c>
      <c r="C181" s="160" t="s">
        <v>8</v>
      </c>
      <c r="D181" s="161" t="s">
        <v>34</v>
      </c>
      <c r="E181" s="61">
        <v>700</v>
      </c>
      <c r="F181" s="61">
        <v>548</v>
      </c>
      <c r="G181" s="62">
        <f>Data[[#This Row],[Qty Delivered]]-Data[[#This Row],[Qty Sold]]</f>
        <v>152</v>
      </c>
      <c r="H181" s="63">
        <v>11310</v>
      </c>
      <c r="I181" s="64">
        <f>(Data[[#This Row],[Gross]]*13%)+(Data[[#This Row],[Gross]]*13%)*15%+23</f>
        <v>1713.845</v>
      </c>
      <c r="J181" s="129">
        <f>Data[[#This Row],[Gross]]-Data[[#This Row],[Deduction]]</f>
        <v>9596.1550000000007</v>
      </c>
    </row>
    <row r="182" spans="1:10">
      <c r="A182" s="66">
        <v>44063</v>
      </c>
      <c r="B182" s="95" t="s">
        <v>53</v>
      </c>
      <c r="C182" s="160" t="s">
        <v>8</v>
      </c>
      <c r="D182" s="161" t="s">
        <v>34</v>
      </c>
      <c r="E182" s="61">
        <v>60</v>
      </c>
      <c r="F182" s="61">
        <v>60</v>
      </c>
      <c r="G182" s="62">
        <f>Data[[#This Row],[Qty Delivered]]-Data[[#This Row],[Qty Sold]]</f>
        <v>0</v>
      </c>
      <c r="H182" s="63">
        <v>1200</v>
      </c>
      <c r="I182" s="64">
        <f>(Data[[#This Row],[Gross]]*13%)+(Data[[#This Row],[Gross]]*13%)*15%+23</f>
        <v>202.4</v>
      </c>
      <c r="J182" s="129">
        <f>Data[[#This Row],[Gross]]-Data[[#This Row],[Deduction]]</f>
        <v>997.6</v>
      </c>
    </row>
    <row r="183" spans="1:10">
      <c r="A183" s="66">
        <v>44067</v>
      </c>
      <c r="B183" s="95" t="s">
        <v>53</v>
      </c>
      <c r="C183" s="160" t="s">
        <v>8</v>
      </c>
      <c r="D183" s="161" t="s">
        <v>34</v>
      </c>
      <c r="E183" s="61">
        <v>70</v>
      </c>
      <c r="F183" s="61">
        <v>70</v>
      </c>
      <c r="G183" s="62">
        <f>Data[[#This Row],[Qty Delivered]]-Data[[#This Row],[Qty Sold]]</f>
        <v>0</v>
      </c>
      <c r="H183" s="63">
        <v>1400</v>
      </c>
      <c r="I183" s="64">
        <f>(Data[[#This Row],[Gross]]*13%)+(Data[[#This Row],[Gross]]*13%)*15%+23</f>
        <v>232.3</v>
      </c>
      <c r="J183" s="129">
        <f>Data[[#This Row],[Gross]]-Data[[#This Row],[Deduction]]</f>
        <v>1167.7</v>
      </c>
    </row>
    <row r="184" spans="1:10">
      <c r="A184" s="66">
        <v>44068</v>
      </c>
      <c r="B184" s="95" t="s">
        <v>53</v>
      </c>
      <c r="C184" s="160" t="s">
        <v>8</v>
      </c>
      <c r="D184" s="161" t="s">
        <v>31</v>
      </c>
      <c r="E184" s="61">
        <v>625</v>
      </c>
      <c r="F184" s="61">
        <v>312</v>
      </c>
      <c r="G184" s="62">
        <f>Data[[#This Row],[Qty Delivered]]-Data[[#This Row],[Qty Sold]]</f>
        <v>313</v>
      </c>
      <c r="H184" s="63">
        <v>2103</v>
      </c>
      <c r="I184" s="64">
        <f>(Data[[#This Row],[Gross]]*13%)+(Data[[#This Row],[Gross]]*13%)*15%+23</f>
        <v>337.39850000000001</v>
      </c>
      <c r="J184" s="129">
        <f>Data[[#This Row],[Gross]]-Data[[#This Row],[Deduction]]</f>
        <v>1765.6015</v>
      </c>
    </row>
    <row r="185" spans="1:10">
      <c r="A185" s="66">
        <v>44068</v>
      </c>
      <c r="B185" s="95" t="s">
        <v>53</v>
      </c>
      <c r="C185" s="160" t="s">
        <v>8</v>
      </c>
      <c r="D185" s="161" t="s">
        <v>34</v>
      </c>
      <c r="E185" s="61">
        <v>49</v>
      </c>
      <c r="F185" s="61">
        <v>49</v>
      </c>
      <c r="G185" s="62">
        <f>Data[[#This Row],[Qty Delivered]]-Data[[#This Row],[Qty Sold]]</f>
        <v>0</v>
      </c>
      <c r="H185" s="63">
        <v>980</v>
      </c>
      <c r="I185" s="64">
        <f>(Data[[#This Row],[Gross]]*13%)+(Data[[#This Row],[Gross]]*13%)*15%+23</f>
        <v>169.51</v>
      </c>
      <c r="J185" s="129">
        <f>Data[[#This Row],[Gross]]-Data[[#This Row],[Deduction]]</f>
        <v>810.49</v>
      </c>
    </row>
    <row r="186" spans="1:10">
      <c r="A186" s="66">
        <v>44074</v>
      </c>
      <c r="B186" s="95" t="s">
        <v>53</v>
      </c>
      <c r="C186" s="160" t="s">
        <v>8</v>
      </c>
      <c r="D186" s="161" t="s">
        <v>34</v>
      </c>
      <c r="E186" s="61">
        <v>150</v>
      </c>
      <c r="F186" s="61">
        <v>150</v>
      </c>
      <c r="G186" s="62">
        <f>Data[[#This Row],[Qty Delivered]]-Data[[#This Row],[Qty Sold]]</f>
        <v>0</v>
      </c>
      <c r="H186" s="63">
        <v>4000</v>
      </c>
      <c r="I186" s="64">
        <f>(Data[[#This Row],[Gross]]*13%)+(Data[[#This Row],[Gross]]*13%)*15%+23</f>
        <v>621</v>
      </c>
      <c r="J186" s="129">
        <f>Data[[#This Row],[Gross]]-Data[[#This Row],[Deduction]]</f>
        <v>3379</v>
      </c>
    </row>
    <row r="187" spans="1:10">
      <c r="A187" s="66">
        <v>44076</v>
      </c>
      <c r="B187" s="95" t="s">
        <v>53</v>
      </c>
      <c r="C187" s="160" t="s">
        <v>8</v>
      </c>
      <c r="D187" s="161" t="s">
        <v>31</v>
      </c>
      <c r="E187" s="61">
        <v>806</v>
      </c>
      <c r="F187" s="61">
        <v>117</v>
      </c>
      <c r="G187" s="62">
        <f>Data[[#This Row],[Qty Delivered]]-Data[[#This Row],[Qty Sold]]</f>
        <v>689</v>
      </c>
      <c r="H187" s="63">
        <v>353</v>
      </c>
      <c r="I187" s="64">
        <f>(Data[[#This Row],[Gross]]*13%)+(Data[[#This Row],[Gross]]*13%)*15%+23</f>
        <v>75.773499999999999</v>
      </c>
      <c r="J187" s="129">
        <f>Data[[#This Row],[Gross]]-Data[[#This Row],[Deduction]]</f>
        <v>277.22649999999999</v>
      </c>
    </row>
    <row r="188" spans="1:10">
      <c r="A188" s="66">
        <v>44076</v>
      </c>
      <c r="B188" s="95" t="s">
        <v>53</v>
      </c>
      <c r="C188" s="160" t="s">
        <v>8</v>
      </c>
      <c r="D188" s="161" t="s">
        <v>34</v>
      </c>
      <c r="E188" s="61">
        <v>100</v>
      </c>
      <c r="F188" s="61">
        <v>100</v>
      </c>
      <c r="G188" s="62">
        <f>Data[[#This Row],[Qty Delivered]]-Data[[#This Row],[Qty Sold]]</f>
        <v>0</v>
      </c>
      <c r="H188" s="63">
        <v>3000</v>
      </c>
      <c r="I188" s="64">
        <f>(Data[[#This Row],[Gross]]*13%)+(Data[[#This Row],[Gross]]*13%)*15%+23</f>
        <v>471.5</v>
      </c>
      <c r="J188" s="129">
        <f>Data[[#This Row],[Gross]]-Data[[#This Row],[Deduction]]</f>
        <v>2528.5</v>
      </c>
    </row>
    <row r="189" spans="1:10">
      <c r="A189" s="66">
        <v>44077</v>
      </c>
      <c r="B189" s="95" t="s">
        <v>53</v>
      </c>
      <c r="C189" s="160" t="s">
        <v>8</v>
      </c>
      <c r="D189" s="161" t="s">
        <v>31</v>
      </c>
      <c r="E189" s="61">
        <v>712</v>
      </c>
      <c r="F189" s="61">
        <v>199</v>
      </c>
      <c r="G189" s="62">
        <f>Data[[#This Row],[Qty Delivered]]-Data[[#This Row],[Qty Sold]]</f>
        <v>513</v>
      </c>
      <c r="H189" s="63">
        <v>398</v>
      </c>
      <c r="I189" s="64">
        <f>(Data[[#This Row],[Gross]]*13%)+(Data[[#This Row],[Gross]]*13%)*15%+23</f>
        <v>82.501000000000005</v>
      </c>
      <c r="J189" s="129">
        <f>Data[[#This Row],[Gross]]-Data[[#This Row],[Deduction]]</f>
        <v>315.49900000000002</v>
      </c>
    </row>
    <row r="190" spans="1:10">
      <c r="A190" s="66">
        <v>44078</v>
      </c>
      <c r="B190" s="95" t="s">
        <v>53</v>
      </c>
      <c r="C190" s="160" t="s">
        <v>8</v>
      </c>
      <c r="D190" s="161" t="s">
        <v>31</v>
      </c>
      <c r="E190" s="61">
        <v>150</v>
      </c>
      <c r="F190" s="61">
        <v>7</v>
      </c>
      <c r="G190" s="62">
        <f>Data[[#This Row],[Qty Delivered]]-Data[[#This Row],[Qty Sold]]</f>
        <v>143</v>
      </c>
      <c r="H190" s="63">
        <v>220</v>
      </c>
      <c r="I190" s="64">
        <f>(Data[[#This Row],[Gross]]*13%)+(Data[[#This Row],[Gross]]*13%)*15%+23</f>
        <v>55.89</v>
      </c>
      <c r="J190" s="129">
        <f>Data[[#This Row],[Gross]]-Data[[#This Row],[Deduction]]</f>
        <v>164.11</v>
      </c>
    </row>
    <row r="191" spans="1:10">
      <c r="A191" s="66">
        <v>44089</v>
      </c>
      <c r="B191" s="95" t="s">
        <v>53</v>
      </c>
      <c r="C191" s="160" t="s">
        <v>8</v>
      </c>
      <c r="D191" s="161" t="s">
        <v>31</v>
      </c>
      <c r="E191" s="61">
        <v>550</v>
      </c>
      <c r="F191" s="61">
        <v>24</v>
      </c>
      <c r="G191" s="62">
        <f>Data[[#This Row],[Qty Delivered]]-Data[[#This Row],[Qty Sold]]</f>
        <v>526</v>
      </c>
      <c r="H191" s="63">
        <v>105</v>
      </c>
      <c r="I191" s="64">
        <f>(Data[[#This Row],[Gross]]*13%)+(Data[[#This Row],[Gross]]*13%)*15%+23</f>
        <v>38.697499999999998</v>
      </c>
      <c r="J191" s="129">
        <f>Data[[#This Row],[Gross]]-Data[[#This Row],[Deduction]]</f>
        <v>66.302500000000009</v>
      </c>
    </row>
    <row r="192" spans="1:10">
      <c r="A192" s="66">
        <v>44091</v>
      </c>
      <c r="B192" s="95" t="s">
        <v>53</v>
      </c>
      <c r="C192" s="160" t="s">
        <v>8</v>
      </c>
      <c r="D192" s="161" t="s">
        <v>31</v>
      </c>
      <c r="E192" s="61">
        <v>856</v>
      </c>
      <c r="F192" s="61">
        <v>96</v>
      </c>
      <c r="G192" s="62">
        <f>Data[[#This Row],[Qty Delivered]]-Data[[#This Row],[Qty Sold]]</f>
        <v>760</v>
      </c>
      <c r="H192" s="63">
        <v>384</v>
      </c>
      <c r="I192" s="64">
        <f>(Data[[#This Row],[Gross]]*13%)+(Data[[#This Row],[Gross]]*13%)*15%+23</f>
        <v>80.408000000000001</v>
      </c>
      <c r="J192" s="129">
        <f>Data[[#This Row],[Gross]]-Data[[#This Row],[Deduction]]</f>
        <v>303.59199999999998</v>
      </c>
    </row>
    <row r="193" spans="1:23">
      <c r="A193" s="66">
        <v>44154</v>
      </c>
      <c r="B193" s="95" t="s">
        <v>53</v>
      </c>
      <c r="C193" s="131" t="s">
        <v>22</v>
      </c>
      <c r="D193" s="131" t="s">
        <v>10</v>
      </c>
      <c r="E193" s="61">
        <v>99</v>
      </c>
      <c r="F193" s="61">
        <v>99</v>
      </c>
      <c r="G193" s="61">
        <f>Data[[#This Row],[Qty Delivered]]-Data[[#This Row],[Qty Sold]]</f>
        <v>0</v>
      </c>
      <c r="H193" s="130">
        <v>1565</v>
      </c>
      <c r="I193" s="130">
        <f>(Data[[#This Row],[Gross]]*13%)+(Data[[#This Row],[Gross]]*13%)*15%+23</f>
        <v>256.96750000000003</v>
      </c>
      <c r="J193" s="129">
        <f>Data[[#This Row],[Gross]]-Data[[#This Row],[Deduction]]</f>
        <v>1308.0325</v>
      </c>
    </row>
    <row r="194" spans="1:23">
      <c r="A194" s="66">
        <v>44165</v>
      </c>
      <c r="B194" s="95" t="s">
        <v>53</v>
      </c>
      <c r="C194" s="131" t="s">
        <v>8</v>
      </c>
      <c r="D194" s="131" t="s">
        <v>10</v>
      </c>
      <c r="E194" s="61">
        <v>670</v>
      </c>
      <c r="F194" s="61">
        <v>670</v>
      </c>
      <c r="G194" s="61">
        <f>Data[[#This Row],[Qty Delivered]]-Data[[#This Row],[Qty Sold]]</f>
        <v>0</v>
      </c>
      <c r="H194" s="130">
        <v>33500</v>
      </c>
      <c r="I194" s="130">
        <f>(Data[[#This Row],[Gross]]*13%)+(Data[[#This Row],[Gross]]*13%)*15%+23</f>
        <v>5031.25</v>
      </c>
      <c r="J194" s="129">
        <f>Data[[#This Row],[Gross]]-Data[[#This Row],[Deduction]]</f>
        <v>28468.75</v>
      </c>
    </row>
    <row r="195" spans="1:23">
      <c r="A195" s="66">
        <v>44166</v>
      </c>
      <c r="B195" s="95" t="s">
        <v>53</v>
      </c>
      <c r="C195" s="131" t="s">
        <v>8</v>
      </c>
      <c r="D195" s="131" t="s">
        <v>10</v>
      </c>
      <c r="E195" s="61">
        <v>124</v>
      </c>
      <c r="F195" s="61">
        <v>124</v>
      </c>
      <c r="G195" s="61">
        <f>Data[[#This Row],[Qty Delivered]]-Data[[#This Row],[Qty Sold]]</f>
        <v>0</v>
      </c>
      <c r="H195" s="130">
        <v>3130</v>
      </c>
      <c r="I195" s="130">
        <f>(Data[[#This Row],[Gross]]*13%)+(Data[[#This Row],[Gross]]*13%)*15%+23</f>
        <v>490.93500000000006</v>
      </c>
      <c r="J195" s="129">
        <f>Data[[#This Row],[Gross]]-Data[[#This Row],[Deduction]]</f>
        <v>2639.0650000000001</v>
      </c>
    </row>
    <row r="196" spans="1:23">
      <c r="A196" s="66">
        <v>44168</v>
      </c>
      <c r="B196" s="95" t="s">
        <v>53</v>
      </c>
      <c r="C196" s="131" t="s">
        <v>9</v>
      </c>
      <c r="D196" s="131" t="s">
        <v>10</v>
      </c>
      <c r="E196" s="61">
        <v>396</v>
      </c>
      <c r="F196" s="61">
        <v>328</v>
      </c>
      <c r="G196" s="61">
        <f>Data[[#This Row],[Qty Delivered]]-Data[[#This Row],[Qty Sold]]</f>
        <v>68</v>
      </c>
      <c r="H196" s="130">
        <v>8885</v>
      </c>
      <c r="I196" s="130">
        <f>(Data[[#This Row],[Gross]]*13%)+(Data[[#This Row],[Gross]]*13%)*15%+23</f>
        <v>1351.3074999999999</v>
      </c>
      <c r="J196" s="129">
        <f>Data[[#This Row],[Gross]]-Data[[#This Row],[Deduction]]</f>
        <v>7533.6925000000001</v>
      </c>
    </row>
    <row r="197" spans="1:23">
      <c r="A197" s="66">
        <v>44168</v>
      </c>
      <c r="B197" s="95" t="s">
        <v>53</v>
      </c>
      <c r="C197" s="131" t="s">
        <v>8</v>
      </c>
      <c r="D197" s="131" t="s">
        <v>10</v>
      </c>
      <c r="E197" s="61">
        <v>124</v>
      </c>
      <c r="F197" s="61">
        <v>124</v>
      </c>
      <c r="G197" s="61">
        <f>Data[[#This Row],[Qty Delivered]]-Data[[#This Row],[Qty Sold]]</f>
        <v>0</v>
      </c>
      <c r="H197" s="130">
        <v>3060</v>
      </c>
      <c r="I197" s="130">
        <f>(Data[[#This Row],[Gross]]*13%)+(Data[[#This Row],[Gross]]*13%)*15%+23</f>
        <v>480.47</v>
      </c>
      <c r="J197" s="129">
        <f>Data[[#This Row],[Gross]]-Data[[#This Row],[Deduction]]</f>
        <v>2579.5299999999997</v>
      </c>
    </row>
    <row r="198" spans="1:23">
      <c r="A198" s="66">
        <v>44169</v>
      </c>
      <c r="B198" s="95" t="s">
        <v>53</v>
      </c>
      <c r="C198" s="131" t="s">
        <v>8</v>
      </c>
      <c r="D198" s="131" t="s">
        <v>10</v>
      </c>
      <c r="E198" s="61">
        <v>70</v>
      </c>
      <c r="F198" s="61">
        <v>70</v>
      </c>
      <c r="G198" s="61">
        <f>Data[[#This Row],[Qty Delivered]]-Data[[#This Row],[Qty Sold]]</f>
        <v>0</v>
      </c>
      <c r="H198" s="130">
        <v>1050</v>
      </c>
      <c r="I198" s="130">
        <f>(Data[[#This Row],[Gross]]*13%)+(Data[[#This Row],[Gross]]*13%)*15%+23</f>
        <v>179.97499999999999</v>
      </c>
      <c r="J198" s="129">
        <f>Data[[#This Row],[Gross]]-Data[[#This Row],[Deduction]]</f>
        <v>870.02499999999998</v>
      </c>
    </row>
    <row r="199" spans="1:23">
      <c r="A199" s="66">
        <v>44174</v>
      </c>
      <c r="B199" s="95" t="s">
        <v>53</v>
      </c>
      <c r="C199" s="131" t="s">
        <v>8</v>
      </c>
      <c r="D199" s="131" t="s">
        <v>10</v>
      </c>
      <c r="E199" s="61">
        <v>378</v>
      </c>
      <c r="F199" s="61">
        <v>378</v>
      </c>
      <c r="G199" s="61">
        <f>Data[[#This Row],[Qty Delivered]]-Data[[#This Row],[Qty Sold]]</f>
        <v>0</v>
      </c>
      <c r="H199" s="130">
        <v>6822</v>
      </c>
      <c r="I199" s="130">
        <f>(Data[[#This Row],[Gross]]*13%)+(Data[[#This Row],[Gross]]*13%)*15%+23</f>
        <v>1042.8890000000001</v>
      </c>
      <c r="J199" s="129">
        <f>Data[[#This Row],[Gross]]-Data[[#This Row],[Deduction]]</f>
        <v>5779.1109999999999</v>
      </c>
      <c r="L199" s="66"/>
      <c r="M199" s="66"/>
      <c r="N199" s="61"/>
      <c r="O199" s="61"/>
      <c r="P199" s="61"/>
      <c r="Q199" s="61"/>
      <c r="R199" s="61"/>
      <c r="S199" s="61"/>
      <c r="T199" s="128"/>
      <c r="U199" s="130"/>
      <c r="V199" s="130"/>
      <c r="W199" s="130"/>
    </row>
    <row r="200" spans="1:23">
      <c r="A200" s="66">
        <v>44175</v>
      </c>
      <c r="B200" s="95" t="s">
        <v>53</v>
      </c>
      <c r="C200" s="131" t="s">
        <v>8</v>
      </c>
      <c r="D200" s="131" t="s">
        <v>10</v>
      </c>
      <c r="E200" s="61">
        <v>423</v>
      </c>
      <c r="F200" s="61">
        <v>423</v>
      </c>
      <c r="G200" s="61">
        <f>Data[[#This Row],[Qty Delivered]]-Data[[#This Row],[Qty Sold]]</f>
        <v>0</v>
      </c>
      <c r="H200" s="130">
        <v>7614</v>
      </c>
      <c r="I200" s="130">
        <f>(Data[[#This Row],[Gross]]*13%)+(Data[[#This Row],[Gross]]*13%)*15%+23</f>
        <v>1161.2930000000001</v>
      </c>
      <c r="J200" s="129">
        <f>Data[[#This Row],[Gross]]-Data[[#This Row],[Deduction]]</f>
        <v>6452.7070000000003</v>
      </c>
    </row>
    <row r="201" spans="1:23">
      <c r="A201" s="66">
        <v>44175</v>
      </c>
      <c r="B201" s="95" t="s">
        <v>54</v>
      </c>
      <c r="C201" s="131" t="s">
        <v>8</v>
      </c>
      <c r="D201" s="131" t="s">
        <v>19</v>
      </c>
      <c r="E201" s="61">
        <v>22</v>
      </c>
      <c r="F201" s="61">
        <v>22</v>
      </c>
      <c r="G201" s="61">
        <f>Data[[#This Row],[Qty Delivered]]-Data[[#This Row],[Qty Sold]]</f>
        <v>0</v>
      </c>
      <c r="H201" s="130">
        <v>660</v>
      </c>
      <c r="I201" s="130">
        <f>(Data[[#This Row],[Gross]]*13%)+(Data[[#This Row],[Gross]]*13%)*15%+23</f>
        <v>121.67</v>
      </c>
      <c r="J201" s="129">
        <f>Data[[#This Row],[Gross]]-Data[[#This Row],[Deduction]]</f>
        <v>538.33000000000004</v>
      </c>
    </row>
    <row r="202" spans="1:23">
      <c r="A202" s="66">
        <v>44176</v>
      </c>
      <c r="B202" s="95" t="s">
        <v>54</v>
      </c>
      <c r="C202" s="131" t="s">
        <v>37</v>
      </c>
      <c r="D202" s="131" t="s">
        <v>19</v>
      </c>
      <c r="E202" s="61">
        <v>51</v>
      </c>
      <c r="F202" s="61">
        <v>33</v>
      </c>
      <c r="G202" s="61">
        <f>Data[[#This Row],[Qty Delivered]]-Data[[#This Row],[Qty Sold]]</f>
        <v>18</v>
      </c>
      <c r="H202" s="130">
        <v>990</v>
      </c>
      <c r="I202" s="130">
        <f>(Data[[#This Row],[Gross]]*13%)+(Data[[#This Row],[Gross]]*13%)*15%+23</f>
        <v>171.00500000000002</v>
      </c>
      <c r="J202" s="129">
        <f>Data[[#This Row],[Gross]]-Data[[#This Row],[Deduction]]</f>
        <v>818.995</v>
      </c>
    </row>
    <row r="203" spans="1:23">
      <c r="A203" s="66">
        <v>44176</v>
      </c>
      <c r="B203" s="95" t="s">
        <v>54</v>
      </c>
      <c r="C203" s="131" t="s">
        <v>37</v>
      </c>
      <c r="D203" s="131" t="s">
        <v>10</v>
      </c>
      <c r="E203" s="61">
        <v>30</v>
      </c>
      <c r="F203" s="61">
        <v>27</v>
      </c>
      <c r="G203" s="61">
        <f>Data[[#This Row],[Qty Delivered]]-Data[[#This Row],[Qty Sold]]</f>
        <v>3</v>
      </c>
      <c r="H203" s="130">
        <v>2160</v>
      </c>
      <c r="I203" s="130">
        <f>(Data[[#This Row],[Gross]]*13%)+(Data[[#This Row],[Gross]]*13%)*15%+23</f>
        <v>345.92</v>
      </c>
      <c r="J203" s="129">
        <f>Data[[#This Row],[Gross]]-Data[[#This Row],[Deduction]]</f>
        <v>1814.08</v>
      </c>
    </row>
    <row r="204" spans="1:23">
      <c r="A204" s="66">
        <v>44178</v>
      </c>
      <c r="B204" s="95" t="s">
        <v>54</v>
      </c>
      <c r="C204" s="131" t="s">
        <v>37</v>
      </c>
      <c r="D204" s="131" t="s">
        <v>19</v>
      </c>
      <c r="E204" s="61">
        <v>63</v>
      </c>
      <c r="F204" s="61">
        <v>26</v>
      </c>
      <c r="G204" s="61">
        <f>Data[[#This Row],[Qty Delivered]]-Data[[#This Row],[Qty Sold]]</f>
        <v>37</v>
      </c>
      <c r="H204" s="130">
        <v>915</v>
      </c>
      <c r="I204" s="130">
        <f>(Data[[#This Row],[Gross]]*13%)+(Data[[#This Row],[Gross]]*13%)*15%+23</f>
        <v>159.79250000000002</v>
      </c>
      <c r="J204" s="129">
        <f>Data[[#This Row],[Gross]]-Data[[#This Row],[Deduction]]</f>
        <v>755.20749999999998</v>
      </c>
    </row>
    <row r="205" spans="1:23">
      <c r="A205" s="66">
        <v>44179</v>
      </c>
      <c r="B205" s="66" t="s">
        <v>53</v>
      </c>
      <c r="C205" s="131" t="s">
        <v>8</v>
      </c>
      <c r="D205" s="131" t="s">
        <v>10</v>
      </c>
      <c r="E205" s="61">
        <v>792</v>
      </c>
      <c r="F205" s="61">
        <v>792</v>
      </c>
      <c r="G205" s="61">
        <f>Data[[#This Row],[Qty Delivered]]-Data[[#This Row],[Qty Sold]]</f>
        <v>0</v>
      </c>
      <c r="H205" s="130">
        <v>25355</v>
      </c>
      <c r="I205" s="130">
        <f>(Data[[#This Row],[Gross]]*13%)+(Data[[#This Row],[Gross]]*13%)*15%+23</f>
        <v>3813.5725000000002</v>
      </c>
      <c r="J205" s="129">
        <f>Data[[#This Row],[Gross]]-Data[[#This Row],[Deduction]]</f>
        <v>21541.427499999998</v>
      </c>
    </row>
    <row r="206" spans="1:23">
      <c r="A206" s="66">
        <v>44180</v>
      </c>
      <c r="B206" s="66" t="s">
        <v>54</v>
      </c>
      <c r="C206" s="131" t="s">
        <v>39</v>
      </c>
      <c r="D206" s="131" t="s">
        <v>19</v>
      </c>
      <c r="E206" s="61">
        <v>18</v>
      </c>
      <c r="F206" s="61">
        <v>1</v>
      </c>
      <c r="G206" s="61">
        <f>Data[[#This Row],[Qty Delivered]]-Data[[#This Row],[Qty Sold]]</f>
        <v>17</v>
      </c>
      <c r="H206" s="130">
        <v>30</v>
      </c>
      <c r="I206" s="130">
        <f>(Data[[#This Row],[Gross]]*13%)+(Data[[#This Row],[Gross]]*13%)*15%+23</f>
        <v>27.484999999999999</v>
      </c>
      <c r="J206" s="129">
        <f>Data[[#This Row],[Gross]]-Data[[#This Row],[Deduction]]</f>
        <v>2.5150000000000006</v>
      </c>
    </row>
    <row r="207" spans="1:23">
      <c r="A207" s="66">
        <v>44181</v>
      </c>
      <c r="B207" s="66" t="s">
        <v>53</v>
      </c>
      <c r="C207" s="131" t="s">
        <v>37</v>
      </c>
      <c r="D207" s="131" t="s">
        <v>10</v>
      </c>
      <c r="E207" s="61">
        <v>891</v>
      </c>
      <c r="F207" s="61">
        <v>675</v>
      </c>
      <c r="G207" s="61">
        <f>Data[[#This Row],[Qty Delivered]]-Data[[#This Row],[Qty Sold]]</f>
        <v>216</v>
      </c>
      <c r="H207" s="130">
        <v>18035</v>
      </c>
      <c r="I207" s="130">
        <f>(Data[[#This Row],[Gross]]*13%)+(Data[[#This Row],[Gross]]*13%)*15%+23</f>
        <v>2719.2325000000001</v>
      </c>
      <c r="J207" s="129">
        <f>Data[[#This Row],[Gross]]-Data[[#This Row],[Deduction]]</f>
        <v>15315.7675</v>
      </c>
    </row>
    <row r="208" spans="1:23">
      <c r="A208" s="66">
        <v>44181</v>
      </c>
      <c r="B208" s="66" t="s">
        <v>54</v>
      </c>
      <c r="C208" s="131" t="s">
        <v>37</v>
      </c>
      <c r="D208" s="131" t="s">
        <v>19</v>
      </c>
      <c r="E208" s="61">
        <v>205</v>
      </c>
      <c r="F208" s="61">
        <v>63</v>
      </c>
      <c r="G208" s="61">
        <f>Data[[#This Row],[Qty Delivered]]-Data[[#This Row],[Qty Sold]]</f>
        <v>142</v>
      </c>
      <c r="H208" s="130">
        <v>1620</v>
      </c>
      <c r="I208" s="130">
        <f>(Data[[#This Row],[Gross]]*13%)+(Data[[#This Row],[Gross]]*13%)*15%+23</f>
        <v>265.19</v>
      </c>
      <c r="J208" s="129">
        <f>Data[[#This Row],[Gross]]-Data[[#This Row],[Deduction]]</f>
        <v>1354.81</v>
      </c>
    </row>
    <row r="209" spans="1:10">
      <c r="A209" s="66">
        <v>44182</v>
      </c>
      <c r="B209" s="66" t="s">
        <v>53</v>
      </c>
      <c r="C209" s="131" t="s">
        <v>8</v>
      </c>
      <c r="D209" s="131" t="s">
        <v>10</v>
      </c>
      <c r="E209" s="61">
        <v>480</v>
      </c>
      <c r="F209" s="61">
        <v>480</v>
      </c>
      <c r="G209" s="61">
        <f>Data[[#This Row],[Qty Delivered]]-Data[[#This Row],[Qty Sold]]</f>
        <v>0</v>
      </c>
      <c r="H209" s="130">
        <v>10995</v>
      </c>
      <c r="I209" s="130">
        <f>(Data[[#This Row],[Gross]]*13%)+(Data[[#This Row],[Gross]]*13%)*15%+23</f>
        <v>1666.7525000000001</v>
      </c>
      <c r="J209" s="129">
        <f>Data[[#This Row],[Gross]]-Data[[#This Row],[Deduction]]</f>
        <v>9328.2474999999995</v>
      </c>
    </row>
    <row r="210" spans="1:10">
      <c r="A210" s="66">
        <v>44186</v>
      </c>
      <c r="B210" s="66" t="s">
        <v>53</v>
      </c>
      <c r="C210" s="131" t="s">
        <v>8</v>
      </c>
      <c r="D210" s="131" t="s">
        <v>10</v>
      </c>
      <c r="E210" s="61">
        <v>810</v>
      </c>
      <c r="F210" s="61">
        <v>810</v>
      </c>
      <c r="G210" s="61">
        <f>Data[[#This Row],[Qty Delivered]]-Data[[#This Row],[Qty Sold]]</f>
        <v>0</v>
      </c>
      <c r="H210" s="130">
        <v>56700</v>
      </c>
      <c r="I210" s="130">
        <f>(Data[[#This Row],[Gross]]*13%)+(Data[[#This Row],[Gross]]*13%)*15%+23</f>
        <v>8499.65</v>
      </c>
      <c r="J210" s="129">
        <f>Data[[#This Row],[Gross]]-Data[[#This Row],[Deduction]]</f>
        <v>48200.35</v>
      </c>
    </row>
    <row r="211" spans="1:10">
      <c r="A211" s="66">
        <v>44186</v>
      </c>
      <c r="B211" s="66" t="s">
        <v>54</v>
      </c>
      <c r="C211" s="131" t="s">
        <v>39</v>
      </c>
      <c r="D211" s="131" t="s">
        <v>19</v>
      </c>
      <c r="E211" s="61">
        <v>160</v>
      </c>
      <c r="F211" s="61">
        <v>160</v>
      </c>
      <c r="G211" s="61">
        <f>Data[[#This Row],[Qty Delivered]]-Data[[#This Row],[Qty Sold]]</f>
        <v>0</v>
      </c>
      <c r="H211" s="130">
        <v>6831</v>
      </c>
      <c r="I211" s="130">
        <f>(Data[[#This Row],[Gross]]*13%)+(Data[[#This Row],[Gross]]*13%)*15%+23</f>
        <v>1044.2345</v>
      </c>
      <c r="J211" s="129">
        <f>Data[[#This Row],[Gross]]-Data[[#This Row],[Deduction]]</f>
        <v>5786.7654999999995</v>
      </c>
    </row>
    <row r="212" spans="1:10">
      <c r="A212" s="66">
        <v>44187</v>
      </c>
      <c r="B212" s="66" t="s">
        <v>54</v>
      </c>
      <c r="C212" s="131" t="s">
        <v>39</v>
      </c>
      <c r="D212" s="131" t="s">
        <v>19</v>
      </c>
      <c r="E212" s="61">
        <v>74</v>
      </c>
      <c r="F212" s="61">
        <v>72</v>
      </c>
      <c r="G212" s="61">
        <f>Data[[#This Row],[Qty Delivered]]-Data[[#This Row],[Qty Sold]]</f>
        <v>2</v>
      </c>
      <c r="H212" s="130">
        <v>3460</v>
      </c>
      <c r="I212" s="130">
        <f>(Data[[#This Row],[Gross]]*13%)+(Data[[#This Row],[Gross]]*13%)*15%+23</f>
        <v>540.27</v>
      </c>
      <c r="J212" s="129">
        <f>Data[[#This Row],[Gross]]-Data[[#This Row],[Deduction]]</f>
        <v>2919.73</v>
      </c>
    </row>
    <row r="213" spans="1:10">
      <c r="A213" s="66">
        <v>44187</v>
      </c>
      <c r="B213" s="66" t="s">
        <v>53</v>
      </c>
      <c r="C213" s="131" t="s">
        <v>8</v>
      </c>
      <c r="D213" s="131" t="s">
        <v>10</v>
      </c>
      <c r="E213" s="61">
        <v>990</v>
      </c>
      <c r="F213" s="61">
        <v>990</v>
      </c>
      <c r="G213" s="61">
        <f>Data[[#This Row],[Qty Delivered]]-Data[[#This Row],[Qty Sold]]</f>
        <v>0</v>
      </c>
      <c r="H213" s="130">
        <v>40461</v>
      </c>
      <c r="I213" s="130">
        <f>(Data[[#This Row],[Gross]]*13%)+(Data[[#This Row],[Gross]]*13%)*15%+23</f>
        <v>6071.9195</v>
      </c>
      <c r="J213" s="129">
        <f>Data[[#This Row],[Gross]]-Data[[#This Row],[Deduction]]</f>
        <v>34389.080499999996</v>
      </c>
    </row>
    <row r="214" spans="1:10">
      <c r="A214" s="66">
        <v>44188</v>
      </c>
      <c r="B214" s="66" t="s">
        <v>54</v>
      </c>
      <c r="C214" s="131" t="s">
        <v>39</v>
      </c>
      <c r="D214" s="131" t="s">
        <v>19</v>
      </c>
      <c r="E214" s="61">
        <v>135</v>
      </c>
      <c r="F214" s="61">
        <v>135</v>
      </c>
      <c r="G214" s="61">
        <f>Data[[#This Row],[Qty Delivered]]-Data[[#This Row],[Qty Sold]]</f>
        <v>0</v>
      </c>
      <c r="H214" s="130">
        <v>8560</v>
      </c>
      <c r="I214" s="130">
        <f>(Data[[#This Row],[Gross]]*13%)+(Data[[#This Row],[Gross]]*13%)*15%+23</f>
        <v>1302.72</v>
      </c>
      <c r="J214" s="129">
        <f>Data[[#This Row],[Gross]]-Data[[#This Row],[Deduction]]</f>
        <v>7257.28</v>
      </c>
    </row>
    <row r="215" spans="1:10">
      <c r="A215" s="66">
        <v>44188</v>
      </c>
      <c r="B215" s="66" t="s">
        <v>53</v>
      </c>
      <c r="C215" s="131" t="s">
        <v>8</v>
      </c>
      <c r="D215" s="131" t="s">
        <v>10</v>
      </c>
      <c r="E215" s="61">
        <v>792</v>
      </c>
      <c r="F215" s="61">
        <v>792</v>
      </c>
      <c r="G215" s="61">
        <f>Data[[#This Row],[Qty Delivered]]-Data[[#This Row],[Qty Sold]]</f>
        <v>0</v>
      </c>
      <c r="H215" s="130">
        <v>12155</v>
      </c>
      <c r="I215" s="130">
        <f>(Data[[#This Row],[Gross]]*13%)+(Data[[#This Row],[Gross]]*13%)*15%+23</f>
        <v>1840.1725000000001</v>
      </c>
      <c r="J215" s="129">
        <f>Data[[#This Row],[Gross]]-Data[[#This Row],[Deduction]]</f>
        <v>10314.827499999999</v>
      </c>
    </row>
    <row r="216" spans="1:10">
      <c r="A216" s="66">
        <v>44194</v>
      </c>
      <c r="B216" s="66" t="s">
        <v>54</v>
      </c>
      <c r="C216" s="131" t="s">
        <v>39</v>
      </c>
      <c r="D216" s="131" t="s">
        <v>19</v>
      </c>
      <c r="E216" s="61">
        <v>163</v>
      </c>
      <c r="F216" s="61">
        <v>163</v>
      </c>
      <c r="G216" s="61">
        <f>Data[[#This Row],[Qty Delivered]]-Data[[#This Row],[Qty Sold]]</f>
        <v>0</v>
      </c>
      <c r="H216" s="130">
        <v>8240</v>
      </c>
      <c r="I216" s="130">
        <f>(Data[[#This Row],[Gross]]*13%)+(Data[[#This Row],[Gross]]*13%)*15%+23</f>
        <v>1254.8800000000001</v>
      </c>
      <c r="J216" s="129">
        <f>Data[[#This Row],[Gross]]-Data[[#This Row],[Deduction]]</f>
        <v>6985.12</v>
      </c>
    </row>
    <row r="217" spans="1:10">
      <c r="A217" s="66">
        <v>44194</v>
      </c>
      <c r="B217" s="66" t="s">
        <v>53</v>
      </c>
      <c r="C217" s="131" t="s">
        <v>8</v>
      </c>
      <c r="D217" s="131" t="s">
        <v>10</v>
      </c>
      <c r="E217" s="61">
        <v>918</v>
      </c>
      <c r="F217" s="61">
        <v>918</v>
      </c>
      <c r="G217" s="61">
        <f>Data[[#This Row],[Qty Delivered]]-Data[[#This Row],[Qty Sold]]</f>
        <v>0</v>
      </c>
      <c r="H217" s="130">
        <v>27155</v>
      </c>
      <c r="I217" s="130">
        <f>(Data[[#This Row],[Gross]]*13%)+(Data[[#This Row],[Gross]]*13%)*15%+23</f>
        <v>4082.6725000000001</v>
      </c>
      <c r="J217" s="129">
        <f>Data[[#This Row],[Gross]]-Data[[#This Row],[Deduction]]</f>
        <v>23072.327499999999</v>
      </c>
    </row>
    <row r="218" spans="1:10">
      <c r="A218" s="66">
        <v>44196</v>
      </c>
      <c r="B218" s="66" t="s">
        <v>53</v>
      </c>
      <c r="C218" s="131" t="s">
        <v>8</v>
      </c>
      <c r="D218" s="131" t="s">
        <v>10</v>
      </c>
      <c r="E218" s="61">
        <v>819</v>
      </c>
      <c r="F218" s="61">
        <v>628</v>
      </c>
      <c r="G218" s="61">
        <f>Data[[#This Row],[Qty Delivered]]-Data[[#This Row],[Qty Sold]]</f>
        <v>191</v>
      </c>
      <c r="H218" s="130">
        <v>14030</v>
      </c>
      <c r="I218" s="130">
        <f>(Data[[#This Row],[Gross]]*13%)+(Data[[#This Row],[Gross]]*13%)*15%+23</f>
        <v>2120.4850000000001</v>
      </c>
      <c r="J218" s="129">
        <f>Data[[#This Row],[Gross]]-Data[[#This Row],[Deduction]]</f>
        <v>11909.514999999999</v>
      </c>
    </row>
    <row r="219" spans="1:10">
      <c r="A219" s="66">
        <v>44196</v>
      </c>
      <c r="B219" s="66" t="s">
        <v>54</v>
      </c>
      <c r="C219" s="131" t="s">
        <v>39</v>
      </c>
      <c r="D219" s="131" t="s">
        <v>19</v>
      </c>
      <c r="E219" s="61">
        <v>59</v>
      </c>
      <c r="F219" s="61">
        <v>59</v>
      </c>
      <c r="G219" s="61">
        <f>Data[[#This Row],[Qty Delivered]]-Data[[#This Row],[Qty Sold]]</f>
        <v>0</v>
      </c>
      <c r="H219" s="130">
        <v>3330</v>
      </c>
      <c r="I219" s="130">
        <f>(Data[[#This Row],[Gross]]*13%)+(Data[[#This Row],[Gross]]*13%)*15%+23</f>
        <v>520.83500000000004</v>
      </c>
      <c r="J219" s="129">
        <f>Data[[#This Row],[Gross]]-Data[[#This Row],[Deduction]]</f>
        <v>2809.165</v>
      </c>
    </row>
    <row r="220" spans="1:10">
      <c r="A220" s="66">
        <v>44196</v>
      </c>
      <c r="B220" s="66" t="s">
        <v>53</v>
      </c>
      <c r="C220" s="131" t="s">
        <v>72</v>
      </c>
      <c r="D220" s="131" t="s">
        <v>10</v>
      </c>
      <c r="E220" s="61">
        <v>720</v>
      </c>
      <c r="F220" s="61">
        <v>424</v>
      </c>
      <c r="G220" s="61">
        <f>Data[[#This Row],[Qty Delivered]]-Data[[#This Row],[Qty Sold]]</f>
        <v>296</v>
      </c>
      <c r="H220" s="130">
        <v>14845</v>
      </c>
      <c r="I220" s="130">
        <f>(Data[[#This Row],[Gross]]*13%)+(Data[[#This Row],[Gross]]*13%)*15%+23</f>
        <v>2242.3275000000003</v>
      </c>
      <c r="J220" s="129">
        <f>Data[[#This Row],[Gross]]-Data[[#This Row],[Deduction]]</f>
        <v>12602.672500000001</v>
      </c>
    </row>
    <row r="221" spans="1:10">
      <c r="A221" s="66">
        <v>44200</v>
      </c>
      <c r="B221" s="66" t="s">
        <v>53</v>
      </c>
      <c r="C221" s="131" t="s">
        <v>8</v>
      </c>
      <c r="D221" s="131" t="s">
        <v>10</v>
      </c>
      <c r="E221" s="61">
        <v>864</v>
      </c>
      <c r="F221" s="61">
        <v>864</v>
      </c>
      <c r="G221" s="61">
        <f>Data[[#This Row],[Qty Delivered]]-Data[[#This Row],[Qty Sold]]</f>
        <v>0</v>
      </c>
      <c r="H221" s="130">
        <v>21600</v>
      </c>
      <c r="I221" s="130">
        <f>(Data[[#This Row],[Gross]]*13%)+(Data[[#This Row],[Gross]]*13%)*15%+23</f>
        <v>3252.2</v>
      </c>
      <c r="J221" s="129">
        <f>Data[[#This Row],[Gross]]-Data[[#This Row],[Deduction]]</f>
        <v>18347.8</v>
      </c>
    </row>
    <row r="222" spans="1:10">
      <c r="A222" s="66">
        <v>44200</v>
      </c>
      <c r="B222" s="66" t="s">
        <v>54</v>
      </c>
      <c r="C222" s="131" t="s">
        <v>39</v>
      </c>
      <c r="D222" s="131" t="s">
        <v>19</v>
      </c>
      <c r="E222" s="61">
        <v>47</v>
      </c>
      <c r="F222" s="61">
        <v>31</v>
      </c>
      <c r="G222" s="61">
        <f>Data[[#This Row],[Qty Delivered]]-Data[[#This Row],[Qty Sold]]</f>
        <v>16</v>
      </c>
      <c r="H222" s="130">
        <v>1650</v>
      </c>
      <c r="I222" s="130">
        <f>(Data[[#This Row],[Gross]]*13%)+(Data[[#This Row],[Gross]]*13%)*15%+23</f>
        <v>269.67500000000001</v>
      </c>
      <c r="J222" s="129">
        <f>Data[[#This Row],[Gross]]-Data[[#This Row],[Deduction]]</f>
        <v>1380.325</v>
      </c>
    </row>
    <row r="223" spans="1:10">
      <c r="A223" s="66">
        <v>44200</v>
      </c>
      <c r="B223" s="66" t="s">
        <v>53</v>
      </c>
      <c r="C223" s="131" t="s">
        <v>8</v>
      </c>
      <c r="D223" s="131" t="s">
        <v>17</v>
      </c>
      <c r="E223" s="61">
        <v>79</v>
      </c>
      <c r="F223" s="61">
        <v>79</v>
      </c>
      <c r="G223" s="61">
        <f>Data[[#This Row],[Qty Delivered]]-Data[[#This Row],[Qty Sold]]</f>
        <v>0</v>
      </c>
      <c r="H223" s="130">
        <v>970</v>
      </c>
      <c r="I223" s="130">
        <f>(Data[[#This Row],[Gross]]*13%)+(Data[[#This Row],[Gross]]*13%)*15%+23</f>
        <v>168.01500000000001</v>
      </c>
      <c r="J223" s="129">
        <f>Data[[#This Row],[Gross]]-Data[[#This Row],[Deduction]]</f>
        <v>801.98500000000001</v>
      </c>
    </row>
    <row r="224" spans="1:10">
      <c r="A224" s="66">
        <v>44201</v>
      </c>
      <c r="B224" s="66" t="s">
        <v>53</v>
      </c>
      <c r="C224" s="131" t="s">
        <v>8</v>
      </c>
      <c r="D224" s="131" t="s">
        <v>10</v>
      </c>
      <c r="E224" s="61">
        <v>573</v>
      </c>
      <c r="F224" s="61">
        <v>455</v>
      </c>
      <c r="G224" s="61">
        <f>Data[[#This Row],[Qty Delivered]]-Data[[#This Row],[Qty Sold]]</f>
        <v>118</v>
      </c>
      <c r="H224" s="130">
        <v>6620</v>
      </c>
      <c r="I224" s="130">
        <f>(Data[[#This Row],[Gross]]*13%)+(Data[[#This Row],[Gross]]*13%)*15%+23</f>
        <v>1012.69</v>
      </c>
      <c r="J224" s="129">
        <f>Data[[#This Row],[Gross]]-Data[[#This Row],[Deduction]]</f>
        <v>5607.3099999999995</v>
      </c>
    </row>
    <row r="225" spans="1:13">
      <c r="A225" s="66">
        <v>44201</v>
      </c>
      <c r="B225" s="66" t="s">
        <v>53</v>
      </c>
      <c r="C225" s="131" t="s">
        <v>8</v>
      </c>
      <c r="D225" s="131" t="s">
        <v>17</v>
      </c>
      <c r="E225" s="61">
        <v>58</v>
      </c>
      <c r="F225" s="61">
        <v>9</v>
      </c>
      <c r="G225" s="61">
        <f>Data[[#This Row],[Qty Delivered]]-Data[[#This Row],[Qty Sold]]</f>
        <v>49</v>
      </c>
      <c r="H225" s="130">
        <v>225</v>
      </c>
      <c r="I225" s="130">
        <f>(Data[[#This Row],[Gross]]*13%)+(Data[[#This Row],[Gross]]*13%)*15%+23</f>
        <v>56.637500000000003</v>
      </c>
      <c r="J225" s="129">
        <f>Data[[#This Row],[Gross]]-Data[[#This Row],[Deduction]]</f>
        <v>168.36250000000001</v>
      </c>
    </row>
    <row r="226" spans="1:13">
      <c r="A226" s="66">
        <v>44201</v>
      </c>
      <c r="B226" s="66" t="s">
        <v>54</v>
      </c>
      <c r="C226" s="131" t="s">
        <v>39</v>
      </c>
      <c r="D226" s="131" t="s">
        <v>19</v>
      </c>
      <c r="E226" s="61">
        <v>103</v>
      </c>
      <c r="F226" s="61">
        <v>85</v>
      </c>
      <c r="G226" s="61">
        <f>Data[[#This Row],[Qty Delivered]]-Data[[#This Row],[Qty Sold]]</f>
        <v>18</v>
      </c>
      <c r="H226" s="130">
        <v>4600</v>
      </c>
      <c r="I226" s="130">
        <f>(Data[[#This Row],[Gross]]*13%)+(Data[[#This Row],[Gross]]*13%)*15%+23</f>
        <v>710.7</v>
      </c>
      <c r="J226" s="129">
        <f>Data[[#This Row],[Gross]]-Data[[#This Row],[Deduction]]</f>
        <v>3889.3</v>
      </c>
    </row>
    <row r="227" spans="1:13">
      <c r="A227" s="66">
        <v>44202</v>
      </c>
      <c r="B227" s="66" t="s">
        <v>54</v>
      </c>
      <c r="C227" s="131" t="s">
        <v>39</v>
      </c>
      <c r="D227" s="131" t="s">
        <v>19</v>
      </c>
      <c r="E227" s="61">
        <v>64</v>
      </c>
      <c r="F227" s="61">
        <v>64</v>
      </c>
      <c r="G227" s="61">
        <f>Data[[#This Row],[Qty Delivered]]-Data[[#This Row],[Qty Sold]]</f>
        <v>0</v>
      </c>
      <c r="H227" s="130">
        <v>2870</v>
      </c>
      <c r="I227" s="130">
        <f>(Data[[#This Row],[Gross]]*13%)+(Data[[#This Row],[Gross]]*13%)*15%+23</f>
        <v>452.06500000000005</v>
      </c>
      <c r="J227" s="129">
        <f>Data[[#This Row],[Gross]]-Data[[#This Row],[Deduction]]</f>
        <v>2417.9349999999999</v>
      </c>
    </row>
    <row r="228" spans="1:13">
      <c r="A228" s="66">
        <v>44202</v>
      </c>
      <c r="B228" s="66" t="s">
        <v>53</v>
      </c>
      <c r="C228" s="131" t="s">
        <v>8</v>
      </c>
      <c r="D228" s="131" t="s">
        <v>10</v>
      </c>
      <c r="E228" s="61">
        <v>747</v>
      </c>
      <c r="F228" s="61">
        <v>747</v>
      </c>
      <c r="G228" s="61">
        <f>Data[[#This Row],[Qty Delivered]]-Data[[#This Row],[Qty Sold]]</f>
        <v>0</v>
      </c>
      <c r="H228" s="130">
        <v>11490</v>
      </c>
      <c r="I228" s="130">
        <f>(Data[[#This Row],[Gross]]*13%)+(Data[[#This Row],[Gross]]*13%)*15%+23</f>
        <v>1740.7550000000001</v>
      </c>
      <c r="J228" s="129">
        <f>Data[[#This Row],[Gross]]-Data[[#This Row],[Deduction]]</f>
        <v>9749.244999999999</v>
      </c>
    </row>
    <row r="229" spans="1:13">
      <c r="A229" s="66">
        <v>44202</v>
      </c>
      <c r="B229" s="66" t="s">
        <v>53</v>
      </c>
      <c r="C229" s="131" t="s">
        <v>8</v>
      </c>
      <c r="D229" s="131" t="s">
        <v>18</v>
      </c>
      <c r="E229" s="61">
        <v>97</v>
      </c>
      <c r="F229" s="61">
        <v>97</v>
      </c>
      <c r="G229" s="61">
        <f>Data[[#This Row],[Qty Delivered]]-Data[[#This Row],[Qty Sold]]</f>
        <v>0</v>
      </c>
      <c r="H229" s="130">
        <v>970</v>
      </c>
      <c r="I229" s="130">
        <f>(Data[[#This Row],[Gross]]*13%)+(Data[[#This Row],[Gross]]*13%)*15%+23</f>
        <v>168.01500000000001</v>
      </c>
      <c r="J229" s="129">
        <f>Data[[#This Row],[Gross]]-Data[[#This Row],[Deduction]]</f>
        <v>801.98500000000001</v>
      </c>
    </row>
    <row r="230" spans="1:13">
      <c r="A230" s="66">
        <v>44203</v>
      </c>
      <c r="B230" s="66" t="s">
        <v>53</v>
      </c>
      <c r="C230" s="131" t="s">
        <v>72</v>
      </c>
      <c r="D230" s="131" t="s">
        <v>10</v>
      </c>
      <c r="E230" s="61">
        <v>655</v>
      </c>
      <c r="F230" s="61">
        <v>0</v>
      </c>
      <c r="G230" s="61">
        <f>Data[[#This Row],[Qty Delivered]]-Data[[#This Row],[Qty Sold]]</f>
        <v>655</v>
      </c>
      <c r="H230" s="130">
        <v>0</v>
      </c>
      <c r="I230" s="130">
        <f>(Data[[#This Row],[Gross]]*13%)+(Data[[#This Row],[Gross]]*13%)*15%+23</f>
        <v>23</v>
      </c>
      <c r="J230" s="129">
        <f>Data[[#This Row],[Gross]]-Data[[#This Row],[Deduction]]</f>
        <v>-23</v>
      </c>
    </row>
    <row r="231" spans="1:13">
      <c r="A231" s="66">
        <v>44203</v>
      </c>
      <c r="B231" s="66" t="s">
        <v>53</v>
      </c>
      <c r="C231" s="131" t="s">
        <v>72</v>
      </c>
      <c r="D231" s="131" t="s">
        <v>18</v>
      </c>
      <c r="E231" s="61">
        <v>37</v>
      </c>
      <c r="F231" s="61">
        <v>0</v>
      </c>
      <c r="G231" s="61">
        <f>Data[[#This Row],[Qty Delivered]]-Data[[#This Row],[Qty Sold]]</f>
        <v>37</v>
      </c>
      <c r="H231" s="130">
        <v>0</v>
      </c>
      <c r="I231" s="130">
        <f>(Data[[#This Row],[Gross]]*13%)+(Data[[#This Row],[Gross]]*13%)*15%+23</f>
        <v>23</v>
      </c>
      <c r="J231" s="129">
        <f>Data[[#This Row],[Gross]]-Data[[#This Row],[Deduction]]</f>
        <v>-23</v>
      </c>
    </row>
    <row r="232" spans="1:13">
      <c r="A232" s="66">
        <v>44203</v>
      </c>
      <c r="B232" s="66" t="s">
        <v>54</v>
      </c>
      <c r="C232" s="131" t="s">
        <v>72</v>
      </c>
      <c r="D232" s="131" t="s">
        <v>19</v>
      </c>
      <c r="E232" s="61">
        <v>56</v>
      </c>
      <c r="F232" s="61">
        <v>56</v>
      </c>
      <c r="G232" s="61">
        <f>Data[[#This Row],[Qty Delivered]]-Data[[#This Row],[Qty Sold]]</f>
        <v>0</v>
      </c>
      <c r="H232" s="130">
        <v>2240</v>
      </c>
      <c r="I232" s="130">
        <f>(Data[[#This Row],[Gross]]*13%)+(Data[[#This Row],[Gross]]*13%)*15%+23</f>
        <v>357.88</v>
      </c>
      <c r="J232" s="129">
        <f>Data[[#This Row],[Gross]]-Data[[#This Row],[Deduction]]</f>
        <v>1882.12</v>
      </c>
    </row>
    <row r="233" spans="1:13">
      <c r="A233" s="66">
        <v>44204</v>
      </c>
      <c r="B233" s="66" t="s">
        <v>53</v>
      </c>
      <c r="C233" s="131" t="s">
        <v>72</v>
      </c>
      <c r="D233" s="131" t="s">
        <v>10</v>
      </c>
      <c r="E233" s="61">
        <v>644</v>
      </c>
      <c r="F233" s="61">
        <v>392</v>
      </c>
      <c r="G233" s="61">
        <f>Data[[#This Row],[Qty Delivered]]-Data[[#This Row],[Qty Sold]]</f>
        <v>252</v>
      </c>
      <c r="H233" s="130">
        <v>11864</v>
      </c>
      <c r="I233" s="130">
        <f>(Data[[#This Row],[Gross]]*13%)+(Data[[#This Row],[Gross]]*13%)*15%+23</f>
        <v>1796.6680000000001</v>
      </c>
      <c r="J233" s="129">
        <f>Data[[#This Row],[Gross]]-Data[[#This Row],[Deduction]]</f>
        <v>10067.332</v>
      </c>
    </row>
    <row r="234" spans="1:13">
      <c r="A234" s="66">
        <v>44207</v>
      </c>
      <c r="B234" s="66" t="s">
        <v>53</v>
      </c>
      <c r="C234" s="131" t="s">
        <v>8</v>
      </c>
      <c r="D234" s="131" t="s">
        <v>10</v>
      </c>
      <c r="E234" s="61">
        <v>738</v>
      </c>
      <c r="F234" s="61">
        <v>738</v>
      </c>
      <c r="G234" s="61">
        <f>Data[[#This Row],[Qty Delivered]]-Data[[#This Row],[Qty Sold]]</f>
        <v>0</v>
      </c>
      <c r="H234" s="130">
        <v>13230</v>
      </c>
      <c r="I234" s="130">
        <f>(Data[[#This Row],[Gross]]*13%)+(Data[[#This Row],[Gross]]*13%)*15%+23</f>
        <v>2000.8850000000002</v>
      </c>
      <c r="J234" s="129">
        <f>Data[[#This Row],[Gross]]-Data[[#This Row],[Deduction]]</f>
        <v>11229.115</v>
      </c>
    </row>
    <row r="235" spans="1:13">
      <c r="A235" s="66">
        <v>44207</v>
      </c>
      <c r="B235" s="66" t="s">
        <v>53</v>
      </c>
      <c r="C235" s="131" t="s">
        <v>8</v>
      </c>
      <c r="D235" s="131" t="s">
        <v>18</v>
      </c>
      <c r="E235" s="61">
        <v>108</v>
      </c>
      <c r="F235" s="61">
        <v>108</v>
      </c>
      <c r="G235" s="61">
        <f>Data[[#This Row],[Qty Delivered]]-Data[[#This Row],[Qty Sold]]</f>
        <v>0</v>
      </c>
      <c r="H235" s="130">
        <v>1935</v>
      </c>
      <c r="I235" s="130">
        <f>(Data[[#This Row],[Gross]]*13%)+(Data[[#This Row],[Gross]]*13%)*15%+23</f>
        <v>312.28250000000003</v>
      </c>
      <c r="J235" s="129">
        <f>Data[[#This Row],[Gross]]-Data[[#This Row],[Deduction]]</f>
        <v>1622.7175</v>
      </c>
    </row>
    <row r="236" spans="1:13">
      <c r="A236" s="66">
        <v>44208</v>
      </c>
      <c r="B236" s="66" t="s">
        <v>53</v>
      </c>
      <c r="C236" s="131" t="s">
        <v>72</v>
      </c>
      <c r="D236" s="131" t="s">
        <v>18</v>
      </c>
      <c r="E236" s="61">
        <v>162</v>
      </c>
      <c r="F236" s="61">
        <v>4</v>
      </c>
      <c r="G236" s="61">
        <f>Data[[#This Row],[Qty Delivered]]-Data[[#This Row],[Qty Sold]]</f>
        <v>158</v>
      </c>
      <c r="H236" s="130">
        <v>120</v>
      </c>
      <c r="I236" s="130">
        <f>(Data[[#This Row],[Gross]]*13%)+(Data[[#This Row],[Gross]]*13%)*15%+23</f>
        <v>40.94</v>
      </c>
      <c r="J236" s="129">
        <f>Data[[#This Row],[Gross]]-Data[[#This Row],[Deduction]]</f>
        <v>79.06</v>
      </c>
    </row>
    <row r="237" spans="1:13">
      <c r="A237" s="66">
        <v>44208</v>
      </c>
      <c r="B237" s="66" t="s">
        <v>54</v>
      </c>
      <c r="C237" s="131" t="s">
        <v>72</v>
      </c>
      <c r="D237" s="131" t="s">
        <v>19</v>
      </c>
      <c r="E237" s="61">
        <v>154</v>
      </c>
      <c r="F237" s="61">
        <v>23</v>
      </c>
      <c r="G237" s="61">
        <f>Data[[#This Row],[Qty Delivered]]-Data[[#This Row],[Qty Sold]]</f>
        <v>131</v>
      </c>
      <c r="H237" s="130">
        <v>890</v>
      </c>
      <c r="I237" s="130">
        <f>(Data[[#This Row],[Gross]]*13%)+(Data[[#This Row],[Gross]]*13%)*15%+23</f>
        <v>156.05500000000001</v>
      </c>
      <c r="J237" s="129">
        <f>Data[[#This Row],[Gross]]-Data[[#This Row],[Deduction]]</f>
        <v>733.94499999999994</v>
      </c>
    </row>
    <row r="238" spans="1:13">
      <c r="A238" s="66">
        <v>44208</v>
      </c>
      <c r="B238" s="66" t="s">
        <v>54</v>
      </c>
      <c r="C238" s="131" t="s">
        <v>39</v>
      </c>
      <c r="D238" s="131" t="s">
        <v>19</v>
      </c>
      <c r="E238" s="61">
        <v>26</v>
      </c>
      <c r="F238" s="61">
        <v>26</v>
      </c>
      <c r="G238" s="61">
        <f>Data[[#This Row],[Qty Delivered]]-Data[[#This Row],[Qty Sold]]</f>
        <v>0</v>
      </c>
      <c r="H238" s="130">
        <v>1570</v>
      </c>
      <c r="I238" s="130">
        <f>(Data[[#This Row],[Gross]]*13%)+(Data[[#This Row],[Gross]]*13%)*15%+23</f>
        <v>257.71500000000003</v>
      </c>
      <c r="J238" s="129">
        <f>Data[[#This Row],[Gross]]-Data[[#This Row],[Deduction]]</f>
        <v>1312.2849999999999</v>
      </c>
    </row>
    <row r="239" spans="1:13">
      <c r="A239" s="66">
        <v>44208</v>
      </c>
      <c r="B239" s="66" t="s">
        <v>53</v>
      </c>
      <c r="C239" s="131" t="s">
        <v>8</v>
      </c>
      <c r="D239" s="131" t="s">
        <v>10</v>
      </c>
      <c r="E239" s="61">
        <v>771</v>
      </c>
      <c r="F239" s="61">
        <v>771</v>
      </c>
      <c r="G239" s="61">
        <f>Data[[#This Row],[Qty Delivered]]-Data[[#This Row],[Qty Sold]]</f>
        <v>0</v>
      </c>
      <c r="H239" s="130">
        <v>8370</v>
      </c>
      <c r="I239" s="130">
        <f>(Data[[#This Row],[Gross]]*13%)+(Data[[#This Row],[Gross]]*13%)*15%+23</f>
        <v>1274.3150000000001</v>
      </c>
      <c r="J239" s="129">
        <f>Data[[#This Row],[Gross]]-Data[[#This Row],[Deduction]]</f>
        <v>7095.6849999999995</v>
      </c>
      <c r="M239" s="147"/>
    </row>
    <row r="240" spans="1:13">
      <c r="A240" s="66">
        <v>44208</v>
      </c>
      <c r="B240" s="66" t="s">
        <v>53</v>
      </c>
      <c r="C240" s="131" t="s">
        <v>8</v>
      </c>
      <c r="D240" s="131" t="s">
        <v>17</v>
      </c>
      <c r="E240" s="61">
        <v>84</v>
      </c>
      <c r="F240" s="61">
        <v>84</v>
      </c>
      <c r="G240" s="61">
        <f>Data[[#This Row],[Qty Delivered]]-Data[[#This Row],[Qty Sold]]</f>
        <v>0</v>
      </c>
      <c r="H240" s="130">
        <v>840</v>
      </c>
      <c r="I240" s="130">
        <f>(Data[[#This Row],[Gross]]*13%)+(Data[[#This Row],[Gross]]*13%)*15%+23</f>
        <v>148.57999999999998</v>
      </c>
      <c r="J240" s="129">
        <f>Data[[#This Row],[Gross]]-Data[[#This Row],[Deduction]]</f>
        <v>691.42000000000007</v>
      </c>
    </row>
    <row r="241" spans="1:12">
      <c r="A241" s="66">
        <v>44208</v>
      </c>
      <c r="B241" s="66" t="s">
        <v>53</v>
      </c>
      <c r="C241" s="131" t="s">
        <v>8</v>
      </c>
      <c r="D241" s="131" t="s">
        <v>18</v>
      </c>
      <c r="E241" s="61">
        <v>14</v>
      </c>
      <c r="F241" s="61">
        <v>0</v>
      </c>
      <c r="G241" s="61">
        <f>Data[[#This Row],[Qty Delivered]]-Data[[#This Row],[Qty Sold]]</f>
        <v>14</v>
      </c>
      <c r="H241" s="130">
        <v>0</v>
      </c>
      <c r="I241" s="130">
        <f>(Data[[#This Row],[Gross]]*13%)+(Data[[#This Row],[Gross]]*13%)*15%+23</f>
        <v>23</v>
      </c>
      <c r="J241" s="129">
        <f>Data[[#This Row],[Gross]]-Data[[#This Row],[Deduction]]</f>
        <v>-23</v>
      </c>
    </row>
    <row r="242" spans="1:12">
      <c r="A242" s="66">
        <v>44208</v>
      </c>
      <c r="B242" s="66" t="s">
        <v>53</v>
      </c>
      <c r="C242" s="131" t="s">
        <v>72</v>
      </c>
      <c r="D242" s="131" t="s">
        <v>10</v>
      </c>
      <c r="E242" s="61">
        <v>504</v>
      </c>
      <c r="F242" s="61">
        <v>341</v>
      </c>
      <c r="G242" s="61">
        <f>Data[[#This Row],[Qty Delivered]]-Data[[#This Row],[Qty Sold]]</f>
        <v>163</v>
      </c>
      <c r="H242" s="130">
        <v>9171</v>
      </c>
      <c r="I242" s="130">
        <f>(Data[[#This Row],[Gross]]*13%)+(Data[[#This Row],[Gross]]*13%)*15%+23</f>
        <v>1394.0645</v>
      </c>
      <c r="J242" s="129">
        <f>Data[[#This Row],[Gross]]-Data[[#This Row],[Deduction]]</f>
        <v>7776.9354999999996</v>
      </c>
    </row>
    <row r="243" spans="1:12">
      <c r="A243" s="66">
        <v>44209</v>
      </c>
      <c r="B243" s="66" t="s">
        <v>53</v>
      </c>
      <c r="C243" s="131" t="s">
        <v>72</v>
      </c>
      <c r="D243" s="131" t="s">
        <v>10</v>
      </c>
      <c r="E243" s="61">
        <v>1026</v>
      </c>
      <c r="F243" s="61">
        <v>168</v>
      </c>
      <c r="G243" s="61">
        <f>Data[[#This Row],[Qty Delivered]]-Data[[#This Row],[Qty Sold]]</f>
        <v>858</v>
      </c>
      <c r="H243" s="130">
        <v>162</v>
      </c>
      <c r="I243" s="130">
        <f>(Data[[#This Row],[Gross]]*13%)+(Data[[#This Row],[Gross]]*13%)*15%+23</f>
        <v>47.219000000000001</v>
      </c>
      <c r="J243" s="129">
        <f>Data[[#This Row],[Gross]]-Data[[#This Row],[Deduction]]</f>
        <v>114.78100000000001</v>
      </c>
    </row>
    <row r="244" spans="1:12">
      <c r="A244" s="66">
        <v>44209</v>
      </c>
      <c r="B244" s="66" t="s">
        <v>53</v>
      </c>
      <c r="C244" s="131" t="s">
        <v>72</v>
      </c>
      <c r="D244" s="131" t="s">
        <v>17</v>
      </c>
      <c r="E244" s="61">
        <v>206</v>
      </c>
      <c r="F244" s="61">
        <v>0</v>
      </c>
      <c r="G244" s="61">
        <f>Data[[#This Row],[Qty Delivered]]-Data[[#This Row],[Qty Sold]]</f>
        <v>206</v>
      </c>
      <c r="H244" s="130">
        <v>0</v>
      </c>
      <c r="I244" s="130">
        <f>(Data[[#This Row],[Gross]]*13%)+(Data[[#This Row],[Gross]]*13%)*15%+23</f>
        <v>23</v>
      </c>
      <c r="J244" s="129">
        <f>Data[[#This Row],[Gross]]-Data[[#This Row],[Deduction]]</f>
        <v>-23</v>
      </c>
    </row>
    <row r="245" spans="1:12">
      <c r="A245" s="66">
        <v>44210</v>
      </c>
      <c r="B245" s="66" t="s">
        <v>53</v>
      </c>
      <c r="C245" s="131" t="s">
        <v>72</v>
      </c>
      <c r="D245" s="131" t="s">
        <v>10</v>
      </c>
      <c r="E245" s="61">
        <v>297</v>
      </c>
      <c r="F245" s="61">
        <v>0</v>
      </c>
      <c r="G245" s="61">
        <f>Data[[#This Row],[Qty Delivered]]-Data[[#This Row],[Qty Sold]]</f>
        <v>297</v>
      </c>
      <c r="H245" s="130">
        <v>0</v>
      </c>
      <c r="I245" s="130">
        <f>(Data[[#This Row],[Gross]]*13%)+(Data[[#This Row],[Gross]]*13%)*15%+23</f>
        <v>23</v>
      </c>
      <c r="J245" s="129">
        <f>Data[[#This Row],[Gross]]-Data[[#This Row],[Deduction]]</f>
        <v>-23</v>
      </c>
    </row>
    <row r="246" spans="1:12">
      <c r="A246" s="66">
        <v>44210</v>
      </c>
      <c r="B246" s="66" t="s">
        <v>53</v>
      </c>
      <c r="C246" s="131" t="s">
        <v>72</v>
      </c>
      <c r="D246" s="131" t="s">
        <v>17</v>
      </c>
      <c r="E246" s="61">
        <v>14</v>
      </c>
      <c r="F246" s="61">
        <v>0</v>
      </c>
      <c r="G246" s="61">
        <f>Data[[#This Row],[Qty Delivered]]-Data[[#This Row],[Qty Sold]]</f>
        <v>14</v>
      </c>
      <c r="H246" s="130">
        <v>0</v>
      </c>
      <c r="I246" s="130">
        <f>(Data[[#This Row],[Gross]]*13%)+(Data[[#This Row],[Gross]]*13%)*15%+23</f>
        <v>23</v>
      </c>
      <c r="J246" s="129">
        <f>Data[[#This Row],[Gross]]-Data[[#This Row],[Deduction]]</f>
        <v>-23</v>
      </c>
    </row>
    <row r="247" spans="1:12">
      <c r="A247" s="66">
        <v>44216</v>
      </c>
      <c r="B247" s="66" t="s">
        <v>53</v>
      </c>
      <c r="C247" s="131" t="s">
        <v>8</v>
      </c>
      <c r="D247" s="131" t="s">
        <v>10</v>
      </c>
      <c r="E247" s="61">
        <v>514</v>
      </c>
      <c r="F247" s="61">
        <v>514</v>
      </c>
      <c r="G247" s="61">
        <f>Data[[#This Row],[Qty Delivered]]-Data[[#This Row],[Qty Sold]]</f>
        <v>0</v>
      </c>
      <c r="H247" s="130">
        <v>15270</v>
      </c>
      <c r="I247" s="130">
        <f>(Data[[#This Row],[Gross]]*13%)+(Data[[#This Row],[Gross]]*13%)*15%+23</f>
        <v>2305.8650000000002</v>
      </c>
      <c r="J247" s="129">
        <f>Data[[#This Row],[Gross]]-Data[[#This Row],[Deduction]]</f>
        <v>12964.135</v>
      </c>
    </row>
    <row r="248" spans="1:12">
      <c r="A248" s="66">
        <v>44216</v>
      </c>
      <c r="B248" s="66" t="s">
        <v>53</v>
      </c>
      <c r="C248" s="131" t="s">
        <v>8</v>
      </c>
      <c r="D248" s="131" t="s">
        <v>17</v>
      </c>
      <c r="E248" s="61">
        <v>203</v>
      </c>
      <c r="F248" s="61">
        <v>203</v>
      </c>
      <c r="G248" s="61">
        <f>Data[[#This Row],[Qty Delivered]]-Data[[#This Row],[Qty Sold]]</f>
        <v>0</v>
      </c>
      <c r="H248" s="130">
        <v>5990</v>
      </c>
      <c r="I248" s="130">
        <f>(Data[[#This Row],[Gross]]*13%)+(Data[[#This Row],[Gross]]*13%)*15%+23</f>
        <v>918.50500000000011</v>
      </c>
      <c r="J248" s="129">
        <f>Data[[#This Row],[Gross]]-Data[[#This Row],[Deduction]]</f>
        <v>5071.4949999999999</v>
      </c>
      <c r="L248" s="130"/>
    </row>
    <row r="249" spans="1:12">
      <c r="A249" s="66">
        <v>44216</v>
      </c>
      <c r="B249" s="66" t="s">
        <v>54</v>
      </c>
      <c r="C249" s="131" t="s">
        <v>39</v>
      </c>
      <c r="D249" s="131" t="s">
        <v>19</v>
      </c>
      <c r="E249" s="61">
        <v>93</v>
      </c>
      <c r="F249" s="61">
        <v>93</v>
      </c>
      <c r="G249" s="61">
        <f>Data[[#This Row],[Qty Delivered]]-Data[[#This Row],[Qty Sold]]</f>
        <v>0</v>
      </c>
      <c r="H249" s="130">
        <v>6430</v>
      </c>
      <c r="I249" s="130">
        <f>(Data[[#This Row],[Gross]]*13%)+(Data[[#This Row],[Gross]]*13%)*15%+23</f>
        <v>984.28499999999997</v>
      </c>
      <c r="J249" s="129">
        <f>Data[[#This Row],[Gross]]-Data[[#This Row],[Deduction]]</f>
        <v>5445.7150000000001</v>
      </c>
    </row>
    <row r="250" spans="1:12">
      <c r="A250" s="66">
        <v>44220</v>
      </c>
      <c r="B250" s="66" t="s">
        <v>53</v>
      </c>
      <c r="C250" s="131" t="s">
        <v>107</v>
      </c>
      <c r="D250" s="131" t="s">
        <v>10</v>
      </c>
      <c r="E250" s="61">
        <v>272</v>
      </c>
      <c r="F250" s="61">
        <v>272</v>
      </c>
      <c r="G250" s="61">
        <f>Data[[#This Row],[Qty Delivered]]-Data[[#This Row],[Qty Sold]]</f>
        <v>0</v>
      </c>
      <c r="H250" s="130">
        <v>10140</v>
      </c>
      <c r="I250" s="130">
        <f>(Data[[#This Row],[Gross]]*13%)+(Data[[#This Row],[Gross]]*13%)*15%+23</f>
        <v>1538.93</v>
      </c>
      <c r="J250" s="129">
        <f>Data[[#This Row],[Gross]]-Data[[#This Row],[Deduction]]</f>
        <v>8601.07</v>
      </c>
    </row>
    <row r="251" spans="1:12">
      <c r="A251" s="66">
        <v>44221</v>
      </c>
      <c r="B251" s="66" t="s">
        <v>53</v>
      </c>
      <c r="C251" s="131" t="s">
        <v>107</v>
      </c>
      <c r="D251" s="131" t="s">
        <v>10</v>
      </c>
      <c r="E251" s="61">
        <v>861</v>
      </c>
      <c r="F251" s="61">
        <v>861</v>
      </c>
      <c r="G251" s="61">
        <f>Data[[#This Row],[Qty Delivered]]-Data[[#This Row],[Qty Sold]]</f>
        <v>0</v>
      </c>
      <c r="H251" s="130">
        <v>19760</v>
      </c>
      <c r="I251" s="130">
        <f>(Data[[#This Row],[Gross]]*13%)+(Data[[#This Row],[Gross]]*13%)*15%+23</f>
        <v>2977.1200000000003</v>
      </c>
      <c r="J251" s="129">
        <f>Data[[#This Row],[Gross]]-Data[[#This Row],[Deduction]]</f>
        <v>16782.88</v>
      </c>
    </row>
    <row r="252" spans="1:12">
      <c r="A252" s="66">
        <v>44221</v>
      </c>
      <c r="B252" s="66" t="s">
        <v>54</v>
      </c>
      <c r="C252" s="131" t="s">
        <v>107</v>
      </c>
      <c r="D252" s="131" t="s">
        <v>19</v>
      </c>
      <c r="E252" s="61">
        <v>18</v>
      </c>
      <c r="F252" s="61">
        <v>18</v>
      </c>
      <c r="G252" s="61">
        <f>Data[[#This Row],[Qty Delivered]]-Data[[#This Row],[Qty Sold]]</f>
        <v>0</v>
      </c>
      <c r="H252" s="130">
        <v>1360</v>
      </c>
      <c r="I252" s="130">
        <f>(Data[[#This Row],[Gross]]*13%)+(Data[[#This Row],[Gross]]*13%)*15%+23</f>
        <v>226.32000000000002</v>
      </c>
      <c r="J252" s="129">
        <f>Data[[#This Row],[Gross]]-Data[[#This Row],[Deduction]]</f>
        <v>1133.68</v>
      </c>
    </row>
    <row r="253" spans="1:12">
      <c r="A253" s="66">
        <v>44222</v>
      </c>
      <c r="B253" s="66" t="s">
        <v>53</v>
      </c>
      <c r="C253" s="131" t="s">
        <v>72</v>
      </c>
      <c r="D253" s="131" t="s">
        <v>10</v>
      </c>
      <c r="E253" s="61">
        <v>198</v>
      </c>
      <c r="F253" s="61">
        <v>0</v>
      </c>
      <c r="G253" s="61">
        <f>Data[[#This Row],[Qty Delivered]]-Data[[#This Row],[Qty Sold]]</f>
        <v>198</v>
      </c>
      <c r="H253" s="130">
        <v>0</v>
      </c>
      <c r="I253" s="130">
        <f>(Data[[#This Row],[Gross]]*13%)+(Data[[#This Row],[Gross]]*13%)*15%+23</f>
        <v>23</v>
      </c>
      <c r="J253" s="129">
        <f>Data[[#This Row],[Gross]]-Data[[#This Row],[Deduction]]</f>
        <v>-23</v>
      </c>
    </row>
    <row r="254" spans="1:12">
      <c r="A254" s="66">
        <v>44222</v>
      </c>
      <c r="B254" s="66" t="s">
        <v>53</v>
      </c>
      <c r="C254" s="131" t="s">
        <v>72</v>
      </c>
      <c r="D254" s="131" t="s">
        <v>18</v>
      </c>
      <c r="E254" s="61">
        <v>198</v>
      </c>
      <c r="F254" s="61">
        <v>0</v>
      </c>
      <c r="G254" s="61">
        <f>Data[[#This Row],[Qty Delivered]]-Data[[#This Row],[Qty Sold]]</f>
        <v>198</v>
      </c>
      <c r="H254" s="130">
        <v>0</v>
      </c>
      <c r="I254" s="130">
        <f>(Data[[#This Row],[Gross]]*13%)+(Data[[#This Row],[Gross]]*13%)*15%+23</f>
        <v>23</v>
      </c>
      <c r="J254" s="129">
        <f>Data[[#This Row],[Gross]]-Data[[#This Row],[Deduction]]</f>
        <v>-23</v>
      </c>
    </row>
    <row r="255" spans="1:12">
      <c r="A255" s="66">
        <v>44222</v>
      </c>
      <c r="B255" s="66" t="s">
        <v>54</v>
      </c>
      <c r="C255" s="131" t="s">
        <v>39</v>
      </c>
      <c r="D255" s="131" t="s">
        <v>19</v>
      </c>
      <c r="E255" s="61">
        <v>114</v>
      </c>
      <c r="F255" s="61">
        <v>0</v>
      </c>
      <c r="G255" s="61">
        <f>Data[[#This Row],[Qty Delivered]]-Data[[#This Row],[Qty Sold]]</f>
        <v>114</v>
      </c>
      <c r="H255" s="130">
        <v>0</v>
      </c>
      <c r="I255" s="130">
        <f>(Data[[#This Row],[Gross]]*13%)+(Data[[#This Row],[Gross]]*13%)*15%+23</f>
        <v>23</v>
      </c>
      <c r="J255" s="129">
        <f>Data[[#This Row],[Gross]]-Data[[#This Row],[Deduction]]</f>
        <v>-23</v>
      </c>
    </row>
    <row r="256" spans="1:12">
      <c r="A256" s="66">
        <v>44223</v>
      </c>
      <c r="B256" s="66" t="s">
        <v>53</v>
      </c>
      <c r="C256" s="131" t="s">
        <v>107</v>
      </c>
      <c r="D256" s="131" t="s">
        <v>10</v>
      </c>
      <c r="E256" s="61">
        <v>99</v>
      </c>
      <c r="F256" s="61">
        <v>99</v>
      </c>
      <c r="G256" s="61">
        <f>Data[[#This Row],[Qty Delivered]]-Data[[#This Row],[Qty Sold]]</f>
        <v>0</v>
      </c>
      <c r="H256" s="130">
        <v>3025</v>
      </c>
      <c r="I256" s="130">
        <f>(Data[[#This Row],[Gross]]*13%)+(Data[[#This Row],[Gross]]*13%)*15%+23</f>
        <v>475.23750000000001</v>
      </c>
      <c r="J256" s="129">
        <f>Data[[#This Row],[Gross]]-Data[[#This Row],[Deduction]]</f>
        <v>2549.7624999999998</v>
      </c>
    </row>
    <row r="257" spans="1:13">
      <c r="A257" s="66">
        <v>44224</v>
      </c>
      <c r="B257" s="66" t="s">
        <v>53</v>
      </c>
      <c r="C257" s="131" t="s">
        <v>107</v>
      </c>
      <c r="D257" s="131" t="s">
        <v>10</v>
      </c>
      <c r="E257" s="61">
        <v>99</v>
      </c>
      <c r="F257" s="61">
        <v>99</v>
      </c>
      <c r="G257" s="61">
        <f>Data[[#This Row],[Qty Delivered]]-Data[[#This Row],[Qty Sold]]</f>
        <v>0</v>
      </c>
      <c r="H257" s="130">
        <v>2580</v>
      </c>
      <c r="I257" s="130">
        <f>(Data[[#This Row],[Gross]]*13%)+(Data[[#This Row],[Gross]]*13%)*15%+23</f>
        <v>408.71000000000004</v>
      </c>
      <c r="J257" s="129">
        <f>Data[[#This Row],[Gross]]-Data[[#This Row],[Deduction]]</f>
        <v>2171.29</v>
      </c>
      <c r="L257" s="145"/>
      <c r="M257" s="145"/>
    </row>
    <row r="258" spans="1:13">
      <c r="A258" s="66">
        <v>44224</v>
      </c>
      <c r="B258" s="66" t="s">
        <v>53</v>
      </c>
      <c r="C258" s="131" t="s">
        <v>107</v>
      </c>
      <c r="D258" s="131" t="s">
        <v>18</v>
      </c>
      <c r="E258" s="61">
        <v>108</v>
      </c>
      <c r="F258" s="61">
        <v>108</v>
      </c>
      <c r="G258" s="61">
        <f>Data[[#This Row],[Qty Delivered]]-Data[[#This Row],[Qty Sold]]</f>
        <v>0</v>
      </c>
      <c r="H258" s="130">
        <v>540</v>
      </c>
      <c r="I258" s="130">
        <f>(Data[[#This Row],[Gross]]*13%)+(Data[[#This Row],[Gross]]*13%)*15%+23</f>
        <v>103.73</v>
      </c>
      <c r="J258" s="129">
        <f>Data[[#This Row],[Gross]]-Data[[#This Row],[Deduction]]</f>
        <v>436.27</v>
      </c>
    </row>
    <row r="259" spans="1:13">
      <c r="A259" s="66">
        <v>44224</v>
      </c>
      <c r="B259" s="66" t="s">
        <v>53</v>
      </c>
      <c r="C259" s="131" t="s">
        <v>107</v>
      </c>
      <c r="D259" s="131" t="s">
        <v>17</v>
      </c>
      <c r="E259" s="61">
        <v>99</v>
      </c>
      <c r="F259" s="61">
        <v>99</v>
      </c>
      <c r="G259" s="61">
        <f>Data[[#This Row],[Qty Delivered]]-Data[[#This Row],[Qty Sold]]</f>
        <v>0</v>
      </c>
      <c r="H259" s="130">
        <v>3090</v>
      </c>
      <c r="I259" s="130">
        <f>(Data[[#This Row],[Gross]]*13%)+(Data[[#This Row],[Gross]]*13%)*15%+23</f>
        <v>484.95499999999998</v>
      </c>
      <c r="J259" s="129">
        <f>Data[[#This Row],[Gross]]-Data[[#This Row],[Deduction]]</f>
        <v>2605.0450000000001</v>
      </c>
    </row>
    <row r="260" spans="1:13">
      <c r="A260" s="66">
        <v>44224</v>
      </c>
      <c r="B260" s="66" t="s">
        <v>54</v>
      </c>
      <c r="C260" s="131" t="s">
        <v>39</v>
      </c>
      <c r="D260" s="131" t="s">
        <v>19</v>
      </c>
      <c r="E260" s="61">
        <v>8</v>
      </c>
      <c r="F260" s="61">
        <v>6</v>
      </c>
      <c r="G260" s="61">
        <f>Data[[#This Row],[Qty Delivered]]-Data[[#This Row],[Qty Sold]]</f>
        <v>2</v>
      </c>
      <c r="H260" s="130">
        <v>450</v>
      </c>
      <c r="I260" s="130">
        <f>(Data[[#This Row],[Gross]]*13%)+(Data[[#This Row],[Gross]]*13%)*15%+23</f>
        <v>90.275000000000006</v>
      </c>
      <c r="J260" s="129">
        <f>Data[[#This Row],[Gross]]-Data[[#This Row],[Deduction]]</f>
        <v>359.72500000000002</v>
      </c>
    </row>
    <row r="261" spans="1:13">
      <c r="A261" s="66">
        <v>44225</v>
      </c>
      <c r="B261" s="66" t="s">
        <v>53</v>
      </c>
      <c r="C261" s="131" t="s">
        <v>72</v>
      </c>
      <c r="D261" s="131" t="s">
        <v>10</v>
      </c>
      <c r="E261" s="61">
        <v>68</v>
      </c>
      <c r="F261" s="61">
        <v>0</v>
      </c>
      <c r="G261" s="61">
        <f>Data[[#This Row],[Qty Delivered]]-Data[[#This Row],[Qty Sold]]</f>
        <v>68</v>
      </c>
      <c r="H261" s="130">
        <v>0</v>
      </c>
      <c r="I261" s="130">
        <f>(Data[[#This Row],[Gross]]*13%)+(Data[[#This Row],[Gross]]*13%)*15%+23</f>
        <v>23</v>
      </c>
      <c r="J261" s="129">
        <f>Data[[#This Row],[Gross]]-Data[[#This Row],[Deduction]]</f>
        <v>-23</v>
      </c>
    </row>
    <row r="262" spans="1:13">
      <c r="A262" s="66">
        <v>44225</v>
      </c>
      <c r="B262" s="66" t="s">
        <v>53</v>
      </c>
      <c r="C262" s="131" t="s">
        <v>72</v>
      </c>
      <c r="D262" s="131" t="s">
        <v>17</v>
      </c>
      <c r="E262" s="61">
        <v>27</v>
      </c>
      <c r="F262" s="61">
        <v>0</v>
      </c>
      <c r="G262" s="61">
        <f>Data[[#This Row],[Qty Delivered]]-Data[[#This Row],[Qty Sold]]</f>
        <v>27</v>
      </c>
      <c r="H262" s="130">
        <v>0</v>
      </c>
      <c r="I262" s="130">
        <f>(Data[[#This Row],[Gross]]*13%)+(Data[[#This Row],[Gross]]*13%)*15%+23</f>
        <v>23</v>
      </c>
      <c r="J262" s="129">
        <f>Data[[#This Row],[Gross]]-Data[[#This Row],[Deduction]]</f>
        <v>-23</v>
      </c>
    </row>
    <row r="263" spans="1:13">
      <c r="A263" s="66">
        <v>44231</v>
      </c>
      <c r="B263" s="66" t="s">
        <v>54</v>
      </c>
      <c r="C263" s="131" t="s">
        <v>39</v>
      </c>
      <c r="D263" s="131" t="s">
        <v>19</v>
      </c>
      <c r="E263" s="61">
        <v>22</v>
      </c>
      <c r="F263" s="61">
        <v>19</v>
      </c>
      <c r="G263" s="61">
        <f>Data[[#This Row],[Qty Delivered]]-Data[[#This Row],[Qty Sold]]</f>
        <v>3</v>
      </c>
      <c r="H263" s="130">
        <v>1900</v>
      </c>
      <c r="I263" s="130">
        <f>(Data[[#This Row],[Gross]]*13%)+(Data[[#This Row],[Gross]]*13%)*15%+23</f>
        <v>307.05</v>
      </c>
      <c r="J263" s="129">
        <f>Data[[#This Row],[Gross]]-Data[[#This Row],[Deduction]]</f>
        <v>1592.95</v>
      </c>
    </row>
    <row r="264" spans="1:13">
      <c r="A264" s="66">
        <v>44242</v>
      </c>
      <c r="B264" s="66" t="s">
        <v>53</v>
      </c>
      <c r="C264" s="131" t="s">
        <v>8</v>
      </c>
      <c r="D264" s="131" t="s">
        <v>10</v>
      </c>
      <c r="E264" s="61">
        <v>17</v>
      </c>
      <c r="F264" s="61">
        <v>17</v>
      </c>
      <c r="G264" s="61">
        <f>Data[[#This Row],[Qty Delivered]]-Data[[#This Row],[Qty Sold]]</f>
        <v>0</v>
      </c>
      <c r="H264" s="130">
        <v>580</v>
      </c>
      <c r="I264" s="130">
        <f>(Data[[#This Row],[Gross]]*13%)+(Data[[#This Row],[Gross]]*13%)*15%+23</f>
        <v>109.71000000000001</v>
      </c>
      <c r="J264" s="129">
        <f>Data[[#This Row],[Gross]]-Data[[#This Row],[Deduction]]</f>
        <v>470.28999999999996</v>
      </c>
    </row>
    <row r="265" spans="1:13">
      <c r="A265" s="66">
        <v>44242</v>
      </c>
      <c r="B265" s="66" t="s">
        <v>53</v>
      </c>
      <c r="C265" s="131" t="s">
        <v>8</v>
      </c>
      <c r="D265" s="131" t="s">
        <v>18</v>
      </c>
      <c r="E265" s="61">
        <v>26</v>
      </c>
      <c r="F265" s="61">
        <v>26</v>
      </c>
      <c r="G265" s="61">
        <f>Data[[#This Row],[Qty Delivered]]-Data[[#This Row],[Qty Sold]]</f>
        <v>0</v>
      </c>
      <c r="H265" s="130">
        <v>320</v>
      </c>
      <c r="I265" s="130">
        <f>(Data[[#This Row],[Gross]]*13%)+(Data[[#This Row],[Gross]]*13%)*15%+23</f>
        <v>70.84</v>
      </c>
      <c r="J265" s="129">
        <f>Data[[#This Row],[Gross]]-Data[[#This Row],[Deduction]]</f>
        <v>249.16</v>
      </c>
    </row>
    <row r="266" spans="1:13">
      <c r="A266" s="66">
        <v>44242</v>
      </c>
      <c r="B266" s="66" t="s">
        <v>53</v>
      </c>
      <c r="C266" s="131" t="s">
        <v>8</v>
      </c>
      <c r="D266" s="131" t="s">
        <v>17</v>
      </c>
      <c r="E266" s="61">
        <v>31</v>
      </c>
      <c r="F266" s="61">
        <v>31</v>
      </c>
      <c r="G266" s="61">
        <f>Data[[#This Row],[Qty Delivered]]-Data[[#This Row],[Qty Sold]]</f>
        <v>0</v>
      </c>
      <c r="H266" s="130">
        <v>1240</v>
      </c>
      <c r="I266" s="130">
        <f>(Data[[#This Row],[Gross]]*13%)+(Data[[#This Row],[Gross]]*13%)*15%+23</f>
        <v>208.38000000000002</v>
      </c>
      <c r="J266" s="129">
        <f>Data[[#This Row],[Gross]]-Data[[#This Row],[Deduction]]</f>
        <v>1031.6199999999999</v>
      </c>
    </row>
    <row r="267" spans="1:13">
      <c r="A267" s="66">
        <v>44249</v>
      </c>
      <c r="B267" s="66" t="s">
        <v>53</v>
      </c>
      <c r="C267" s="131" t="s">
        <v>8</v>
      </c>
      <c r="D267" s="131" t="s">
        <v>122</v>
      </c>
      <c r="E267" s="61">
        <v>69</v>
      </c>
      <c r="F267" s="61">
        <v>69</v>
      </c>
      <c r="G267" s="61">
        <f>Data[[#This Row],[Qty Delivered]]-Data[[#This Row],[Qty Sold]]</f>
        <v>0</v>
      </c>
      <c r="H267" s="130">
        <v>4870</v>
      </c>
      <c r="I267" s="130">
        <f>(Data[[#This Row],[Gross]]*13%)+(Data[[#This Row],[Gross]]*13%)*15%+23</f>
        <v>751.06500000000005</v>
      </c>
      <c r="J267" s="129">
        <f>Data[[#This Row],[Gross]]-Data[[#This Row],[Deduction]]</f>
        <v>4118.9349999999995</v>
      </c>
    </row>
    <row r="268" spans="1:13">
      <c r="A268" s="66">
        <v>44249</v>
      </c>
      <c r="B268" s="66" t="s">
        <v>53</v>
      </c>
      <c r="C268" s="131" t="s">
        <v>8</v>
      </c>
      <c r="D268" s="131" t="s">
        <v>18</v>
      </c>
      <c r="E268" s="61">
        <v>8</v>
      </c>
      <c r="F268" s="61">
        <v>5</v>
      </c>
      <c r="G268" s="61">
        <f>Data[[#This Row],[Qty Delivered]]-Data[[#This Row],[Qty Sold]]</f>
        <v>3</v>
      </c>
      <c r="H268" s="130">
        <v>50</v>
      </c>
      <c r="I268" s="130">
        <f>(Data[[#This Row],[Gross]]*13%)+(Data[[#This Row],[Gross]]*13%)*15%+23</f>
        <v>30.475000000000001</v>
      </c>
      <c r="J268" s="129">
        <f>Data[[#This Row],[Gross]]-Data[[#This Row],[Deduction]]</f>
        <v>19.524999999999999</v>
      </c>
    </row>
    <row r="269" spans="1:13">
      <c r="A269" s="66">
        <v>44249</v>
      </c>
      <c r="B269" s="66" t="s">
        <v>53</v>
      </c>
      <c r="C269" s="131" t="s">
        <v>8</v>
      </c>
      <c r="D269" s="131" t="s">
        <v>17</v>
      </c>
      <c r="E269" s="61">
        <v>2</v>
      </c>
      <c r="F269" s="61">
        <v>0</v>
      </c>
      <c r="G269" s="61">
        <f>Data[[#This Row],[Qty Delivered]]-Data[[#This Row],[Qty Sold]]</f>
        <v>2</v>
      </c>
      <c r="H269" s="130">
        <v>0</v>
      </c>
      <c r="I269" s="130">
        <f>(Data[[#This Row],[Gross]]*13%)+(Data[[#This Row],[Gross]]*13%)*15%+23</f>
        <v>23</v>
      </c>
      <c r="J269" s="129">
        <f>Data[[#This Row],[Gross]]-Data[[#This Row],[Deduction]]</f>
        <v>-23</v>
      </c>
    </row>
    <row r="270" spans="1:13">
      <c r="A270" s="66">
        <v>44249</v>
      </c>
      <c r="B270" s="66" t="s">
        <v>53</v>
      </c>
      <c r="C270" s="131" t="s">
        <v>8</v>
      </c>
      <c r="D270" s="131" t="s">
        <v>10</v>
      </c>
      <c r="E270" s="61">
        <v>10</v>
      </c>
      <c r="F270" s="61">
        <v>9</v>
      </c>
      <c r="G270" s="61">
        <f>Data[[#This Row],[Qty Delivered]]-Data[[#This Row],[Qty Sold]]</f>
        <v>1</v>
      </c>
      <c r="H270" s="130">
        <v>355</v>
      </c>
      <c r="I270" s="130">
        <f>(Data[[#This Row],[Gross]]*13%)+(Data[[#This Row],[Gross]]*13%)*15%+23</f>
        <v>76.072499999999991</v>
      </c>
      <c r="J270" s="129">
        <f>Data[[#This Row],[Gross]]-Data[[#This Row],[Deduction]]</f>
        <v>278.92750000000001</v>
      </c>
    </row>
    <row r="271" spans="1:13">
      <c r="A271" s="66">
        <v>44270</v>
      </c>
      <c r="B271" s="66" t="s">
        <v>53</v>
      </c>
      <c r="C271" s="131" t="s">
        <v>8</v>
      </c>
      <c r="D271" s="131" t="s">
        <v>10</v>
      </c>
      <c r="E271" s="61">
        <v>54</v>
      </c>
      <c r="F271" s="61">
        <v>54</v>
      </c>
      <c r="G271" s="61">
        <f>Data[[#This Row],[Qty Delivered]]-Data[[#This Row],[Qty Sold]]</f>
        <v>0</v>
      </c>
      <c r="H271" s="130">
        <v>2160</v>
      </c>
      <c r="I271" s="130">
        <f>(Data[[#This Row],[Gross]]*13%)+(Data[[#This Row],[Gross]]*13%)*15%+23</f>
        <v>345.92</v>
      </c>
      <c r="J271" s="129">
        <f>Data[[#This Row],[Gross]]-Data[[#This Row],[Deduction]]</f>
        <v>1814.08</v>
      </c>
    </row>
    <row r="272" spans="1:13">
      <c r="A272" s="66">
        <v>44279</v>
      </c>
      <c r="B272" s="66" t="s">
        <v>53</v>
      </c>
      <c r="C272" s="131" t="s">
        <v>8</v>
      </c>
      <c r="D272" s="131" t="s">
        <v>17</v>
      </c>
      <c r="E272" s="61">
        <v>1</v>
      </c>
      <c r="F272" s="61">
        <v>1</v>
      </c>
      <c r="G272" s="61">
        <f>Data[[#This Row],[Qty Delivered]]-Data[[#This Row],[Qty Sold]]</f>
        <v>0</v>
      </c>
      <c r="H272" s="130">
        <v>10</v>
      </c>
      <c r="I272" s="130">
        <f>(Data[[#This Row],[Gross]]*13%)+(Data[[#This Row],[Gross]]*13%)*15%+23</f>
        <v>24.495000000000001</v>
      </c>
      <c r="J272" s="129">
        <f>Data[[#This Row],[Gross]]-Data[[#This Row],[Deduction]]</f>
        <v>-14.495000000000001</v>
      </c>
    </row>
    <row r="273" spans="1:10">
      <c r="A273" s="66">
        <v>44279</v>
      </c>
      <c r="B273" s="66" t="s">
        <v>53</v>
      </c>
      <c r="C273" s="131" t="s">
        <v>8</v>
      </c>
      <c r="D273" s="131" t="s">
        <v>10</v>
      </c>
      <c r="E273" s="61">
        <v>106</v>
      </c>
      <c r="F273" s="61">
        <v>28</v>
      </c>
      <c r="G273" s="61">
        <f>Data[[#This Row],[Qty Delivered]]-Data[[#This Row],[Qty Sold]]</f>
        <v>78</v>
      </c>
      <c r="H273" s="130">
        <v>1390</v>
      </c>
      <c r="I273" s="130">
        <f>(Data[[#This Row],[Gross]]*13%)+(Data[[#This Row],[Gross]]*13%)*15%+23</f>
        <v>230.80500000000001</v>
      </c>
      <c r="J273" s="129">
        <f>Data[[#This Row],[Gross]]-Data[[#This Row],[Deduction]]</f>
        <v>1159.1949999999999</v>
      </c>
    </row>
    <row r="274" spans="1:10">
      <c r="A274" s="66">
        <v>44279</v>
      </c>
      <c r="B274" s="66" t="s">
        <v>53</v>
      </c>
      <c r="C274" s="131" t="s">
        <v>8</v>
      </c>
      <c r="D274" s="131" t="s">
        <v>18</v>
      </c>
      <c r="E274" s="61">
        <v>1</v>
      </c>
      <c r="F274" s="61">
        <v>1</v>
      </c>
      <c r="G274" s="61">
        <f>Data[[#This Row],[Qty Delivered]]-Data[[#This Row],[Qty Sold]]</f>
        <v>0</v>
      </c>
      <c r="H274" s="130">
        <v>50</v>
      </c>
      <c r="I274" s="130">
        <f>(Data[[#This Row],[Gross]]*13%)+(Data[[#This Row],[Gross]]*13%)*15%+23</f>
        <v>30.475000000000001</v>
      </c>
      <c r="J274" s="129">
        <f>Data[[#This Row],[Gross]]-Data[[#This Row],[Deduction]]</f>
        <v>19.524999999999999</v>
      </c>
    </row>
    <row r="275" spans="1:10">
      <c r="A275" s="66">
        <v>44285</v>
      </c>
      <c r="B275" s="66" t="s">
        <v>53</v>
      </c>
      <c r="C275" s="131" t="s">
        <v>8</v>
      </c>
      <c r="D275" s="131" t="s">
        <v>10</v>
      </c>
      <c r="E275" s="61">
        <v>123</v>
      </c>
      <c r="F275" s="61">
        <v>123</v>
      </c>
      <c r="G275" s="61">
        <f>Data[[#This Row],[Qty Delivered]]-Data[[#This Row],[Qty Sold]]</f>
        <v>0</v>
      </c>
      <c r="H275" s="130">
        <v>6150</v>
      </c>
      <c r="I275" s="130">
        <f>(Data[[#This Row],[Gross]]*13%)+(Data[[#This Row],[Gross]]*13%)*15%+23</f>
        <v>942.42499999999995</v>
      </c>
      <c r="J275" s="129">
        <f>Data[[#This Row],[Gross]]-Data[[#This Row],[Deduction]]</f>
        <v>5207.5749999999998</v>
      </c>
    </row>
    <row r="276" spans="1:10">
      <c r="A276" s="66">
        <v>44292</v>
      </c>
      <c r="B276" s="66" t="s">
        <v>53</v>
      </c>
      <c r="C276" s="131" t="s">
        <v>8</v>
      </c>
      <c r="D276" s="131" t="s">
        <v>10</v>
      </c>
      <c r="E276" s="61">
        <v>88</v>
      </c>
      <c r="F276" s="61">
        <v>88</v>
      </c>
      <c r="G276" s="61">
        <f>Data[[#This Row],[Qty Delivered]]-Data[[#This Row],[Qty Sold]]</f>
        <v>0</v>
      </c>
      <c r="H276" s="130">
        <v>3520</v>
      </c>
      <c r="I276" s="130">
        <f>(Data[[#This Row],[Gross]]*13%)+(Data[[#This Row],[Gross]]*13%)*15%+23</f>
        <v>549.24</v>
      </c>
      <c r="J276" s="129">
        <f>Data[[#This Row],[Gross]]-Data[[#This Row],[Deduction]]</f>
        <v>2970.76</v>
      </c>
    </row>
    <row r="277" spans="1:10">
      <c r="A277" s="66">
        <v>44300</v>
      </c>
      <c r="B277" s="66" t="s">
        <v>53</v>
      </c>
      <c r="C277" s="131" t="s">
        <v>8</v>
      </c>
      <c r="D277" s="131" t="s">
        <v>10</v>
      </c>
      <c r="E277" s="61">
        <v>90</v>
      </c>
      <c r="F277" s="61">
        <v>88</v>
      </c>
      <c r="G277" s="61">
        <f>Data[[#This Row],[Qty Delivered]]-Data[[#This Row],[Qty Sold]]</f>
        <v>2</v>
      </c>
      <c r="H277" s="130">
        <v>1585</v>
      </c>
      <c r="I277" s="130">
        <f>(Data[[#This Row],[Gross]]*13%)+(Data[[#This Row],[Gross]]*13%)*15%+23</f>
        <v>259.95749999999998</v>
      </c>
      <c r="J277" s="129">
        <f>Data[[#This Row],[Gross]]-Data[[#This Row],[Deduction]]</f>
        <v>1325.0425</v>
      </c>
    </row>
    <row r="278" spans="1:10">
      <c r="A278" s="66">
        <v>44320</v>
      </c>
      <c r="B278" s="66" t="s">
        <v>53</v>
      </c>
      <c r="C278" s="131" t="s">
        <v>8</v>
      </c>
      <c r="D278" s="131" t="s">
        <v>10</v>
      </c>
      <c r="E278" s="61">
        <v>136</v>
      </c>
      <c r="F278" s="61">
        <v>136</v>
      </c>
      <c r="G278" s="61">
        <f>Data[[#This Row],[Qty Delivered]]-Data[[#This Row],[Qty Sold]]</f>
        <v>0</v>
      </c>
      <c r="H278" s="130">
        <v>4080</v>
      </c>
      <c r="I278" s="130">
        <f>(Data[[#This Row],[Gross]]*13%)+(Data[[#This Row],[Gross]]*13%)*15%+23</f>
        <v>632.95999999999992</v>
      </c>
      <c r="J278" s="129">
        <f>Data[[#This Row],[Gross]]-Data[[#This Row],[Deduction]]</f>
        <v>3447.04</v>
      </c>
    </row>
    <row r="279" spans="1:10">
      <c r="A279" s="66">
        <v>44320</v>
      </c>
      <c r="B279" s="66" t="s">
        <v>53</v>
      </c>
      <c r="C279" s="131" t="s">
        <v>8</v>
      </c>
      <c r="D279" s="131" t="s">
        <v>18</v>
      </c>
      <c r="E279" s="61">
        <v>7</v>
      </c>
      <c r="F279" s="61">
        <v>1</v>
      </c>
      <c r="G279" s="61">
        <f>Data[[#This Row],[Qty Delivered]]-Data[[#This Row],[Qty Sold]]</f>
        <v>6</v>
      </c>
      <c r="H279" s="130">
        <v>40</v>
      </c>
      <c r="I279" s="130">
        <f>(Data[[#This Row],[Gross]]*13%)+(Data[[#This Row],[Gross]]*13%)*15%+23</f>
        <v>28.98</v>
      </c>
      <c r="J279" s="129">
        <f>Data[[#This Row],[Gross]]-Data[[#This Row],[Deduction]]</f>
        <v>11.02</v>
      </c>
    </row>
    <row r="280" spans="1:10">
      <c r="A280" s="66">
        <v>44320</v>
      </c>
      <c r="B280" s="66" t="s">
        <v>53</v>
      </c>
      <c r="C280" s="131" t="s">
        <v>8</v>
      </c>
      <c r="D280" s="131" t="s">
        <v>17</v>
      </c>
      <c r="E280" s="61">
        <v>3</v>
      </c>
      <c r="F280" s="61">
        <v>0</v>
      </c>
      <c r="G280" s="61">
        <f>Data[[#This Row],[Qty Delivered]]-Data[[#This Row],[Qty Sold]]</f>
        <v>3</v>
      </c>
      <c r="H280" s="130">
        <v>0</v>
      </c>
      <c r="I280" s="130">
        <f>(Data[[#This Row],[Gross]]*13%)+(Data[[#This Row],[Gross]]*13%)*15%+23</f>
        <v>23</v>
      </c>
      <c r="J280" s="129">
        <f>Data[[#This Row],[Gross]]-Data[[#This Row],[Deduction]]</f>
        <v>-23</v>
      </c>
    </row>
    <row r="281" spans="1:10">
      <c r="A281" s="66">
        <v>44321</v>
      </c>
      <c r="B281" s="66" t="s">
        <v>53</v>
      </c>
      <c r="C281" s="131" t="s">
        <v>8</v>
      </c>
      <c r="D281" s="131" t="s">
        <v>109</v>
      </c>
      <c r="E281" s="61">
        <v>68</v>
      </c>
      <c r="F281" s="61">
        <v>68</v>
      </c>
      <c r="G281" s="61">
        <f>Data[[#This Row],[Qty Delivered]]-Data[[#This Row],[Qty Sold]]</f>
        <v>0</v>
      </c>
      <c r="H281" s="130">
        <v>5560</v>
      </c>
      <c r="I281" s="130">
        <f>(Data[[#This Row],[Gross]]*13%)+(Data[[#This Row],[Gross]]*13%)*15%+23</f>
        <v>854.22</v>
      </c>
      <c r="J281" s="129">
        <f>Data[[#This Row],[Gross]]-Data[[#This Row],[Deduction]]</f>
        <v>4705.78</v>
      </c>
    </row>
    <row r="282" spans="1:10">
      <c r="A282" s="66">
        <v>44326</v>
      </c>
      <c r="B282" s="66" t="s">
        <v>53</v>
      </c>
      <c r="C282" s="131" t="s">
        <v>8</v>
      </c>
      <c r="D282" s="131" t="s">
        <v>109</v>
      </c>
      <c r="E282" s="61">
        <v>93</v>
      </c>
      <c r="F282" s="61">
        <v>93</v>
      </c>
      <c r="G282" s="61">
        <f>Data[[#This Row],[Qty Delivered]]-Data[[#This Row],[Qty Sold]]</f>
        <v>0</v>
      </c>
      <c r="H282" s="130">
        <v>6510</v>
      </c>
      <c r="I282" s="130">
        <f>(Data[[#This Row],[Gross]]*13%)+(Data[[#This Row],[Gross]]*13%)*15%+23</f>
        <v>996.24500000000012</v>
      </c>
      <c r="J282" s="129">
        <f>Data[[#This Row],[Gross]]-Data[[#This Row],[Deduction]]</f>
        <v>5513.7550000000001</v>
      </c>
    </row>
    <row r="283" spans="1:10">
      <c r="A283" s="66">
        <v>44326</v>
      </c>
      <c r="B283" s="66" t="s">
        <v>53</v>
      </c>
      <c r="C283" s="131" t="s">
        <v>8</v>
      </c>
      <c r="D283" s="131" t="s">
        <v>10</v>
      </c>
      <c r="E283" s="61">
        <v>61</v>
      </c>
      <c r="F283" s="61">
        <v>3</v>
      </c>
      <c r="G283" s="61">
        <f>Data[[#This Row],[Qty Delivered]]-Data[[#This Row],[Qty Sold]]</f>
        <v>58</v>
      </c>
      <c r="H283" s="130">
        <v>90</v>
      </c>
      <c r="I283" s="130">
        <f>(Data[[#This Row],[Gross]]*13%)+(Data[[#This Row],[Gross]]*13%)*15%+23</f>
        <v>36.454999999999998</v>
      </c>
      <c r="J283" s="129">
        <f>Data[[#This Row],[Gross]]-Data[[#This Row],[Deduction]]</f>
        <v>53.545000000000002</v>
      </c>
    </row>
    <row r="284" spans="1:10">
      <c r="A284" s="66">
        <v>44326</v>
      </c>
      <c r="B284" s="66" t="s">
        <v>53</v>
      </c>
      <c r="C284" s="131" t="s">
        <v>8</v>
      </c>
      <c r="D284" s="131" t="s">
        <v>18</v>
      </c>
      <c r="E284" s="61">
        <v>7</v>
      </c>
      <c r="F284" s="61">
        <v>0</v>
      </c>
      <c r="G284" s="61">
        <f>Data[[#This Row],[Qty Delivered]]-Data[[#This Row],[Qty Sold]]</f>
        <v>7</v>
      </c>
      <c r="H284" s="130">
        <v>0</v>
      </c>
      <c r="I284" s="130">
        <f>(Data[[#This Row],[Gross]]*13%)+(Data[[#This Row],[Gross]]*13%)*15%+23</f>
        <v>23</v>
      </c>
      <c r="J284" s="129">
        <f>Data[[#This Row],[Gross]]-Data[[#This Row],[Deduction]]</f>
        <v>-23</v>
      </c>
    </row>
    <row r="285" spans="1:10">
      <c r="A285" s="66">
        <v>44328</v>
      </c>
      <c r="B285" s="66" t="s">
        <v>53</v>
      </c>
      <c r="C285" s="131" t="s">
        <v>8</v>
      </c>
      <c r="D285" s="131" t="s">
        <v>35</v>
      </c>
      <c r="E285" s="61">
        <v>848</v>
      </c>
      <c r="F285" s="61">
        <v>24</v>
      </c>
      <c r="G285" s="61">
        <f>Data[[#This Row],[Qty Delivered]]-Data[[#This Row],[Qty Sold]]</f>
        <v>824</v>
      </c>
      <c r="H285" s="130">
        <v>120</v>
      </c>
      <c r="I285" s="130">
        <f>(Data[[#This Row],[Gross]]*13%)+(Data[[#This Row],[Gross]]*13%)*15%+23</f>
        <v>40.94</v>
      </c>
      <c r="J285" s="129">
        <f>Data[[#This Row],[Gross]]-Data[[#This Row],[Deduction]]</f>
        <v>79.06</v>
      </c>
    </row>
    <row r="286" spans="1:10">
      <c r="A286" s="66">
        <v>44333</v>
      </c>
      <c r="B286" s="66" t="s">
        <v>53</v>
      </c>
      <c r="C286" s="131" t="s">
        <v>8</v>
      </c>
      <c r="D286" s="131" t="s">
        <v>109</v>
      </c>
      <c r="E286" s="61">
        <v>158</v>
      </c>
      <c r="F286" s="61">
        <v>53</v>
      </c>
      <c r="G286" s="61">
        <f>Data[[#This Row],[Qty Delivered]]-Data[[#This Row],[Qty Sold]]</f>
        <v>105</v>
      </c>
      <c r="H286" s="130">
        <v>4240</v>
      </c>
      <c r="I286" s="130">
        <f>(Data[[#This Row],[Gross]]*13%)+(Data[[#This Row],[Gross]]*13%)*15%+23</f>
        <v>656.88000000000011</v>
      </c>
      <c r="J286" s="129">
        <f>Data[[#This Row],[Gross]]-Data[[#This Row],[Deduction]]</f>
        <v>3583.12</v>
      </c>
    </row>
    <row r="287" spans="1:10">
      <c r="A287" s="66">
        <v>44340</v>
      </c>
      <c r="B287" s="66" t="s">
        <v>53</v>
      </c>
      <c r="C287" s="131" t="s">
        <v>8</v>
      </c>
      <c r="D287" s="131" t="s">
        <v>109</v>
      </c>
      <c r="E287" s="61">
        <v>114</v>
      </c>
      <c r="F287" s="61">
        <v>114</v>
      </c>
      <c r="G287" s="61">
        <f>Data[[#This Row],[Qty Delivered]]-Data[[#This Row],[Qty Sold]]</f>
        <v>0</v>
      </c>
      <c r="H287" s="130">
        <v>9120</v>
      </c>
      <c r="I287" s="130">
        <f>(Data[[#This Row],[Gross]]*13%)+(Data[[#This Row],[Gross]]*13%)*15%+23</f>
        <v>1386.44</v>
      </c>
      <c r="J287" s="129">
        <f>Data[[#This Row],[Gross]]-Data[[#This Row],[Deduction]]</f>
        <v>7733.5599999999995</v>
      </c>
    </row>
    <row r="288" spans="1:10">
      <c r="A288" s="66">
        <v>44340</v>
      </c>
      <c r="B288" s="66" t="s">
        <v>53</v>
      </c>
      <c r="C288" s="131" t="s">
        <v>8</v>
      </c>
      <c r="D288" s="131" t="s">
        <v>10</v>
      </c>
      <c r="E288" s="61">
        <v>48</v>
      </c>
      <c r="F288" s="61">
        <v>39</v>
      </c>
      <c r="G288" s="61">
        <f>Data[[#This Row],[Qty Delivered]]-Data[[#This Row],[Qty Sold]]</f>
        <v>9</v>
      </c>
      <c r="H288" s="130">
        <v>585</v>
      </c>
      <c r="I288" s="130">
        <f>(Data[[#This Row],[Gross]]*13%)+(Data[[#This Row],[Gross]]*13%)*15%+23</f>
        <v>110.4575</v>
      </c>
      <c r="J288" s="129">
        <f>Data[[#This Row],[Gross]]-Data[[#This Row],[Deduction]]</f>
        <v>474.54250000000002</v>
      </c>
    </row>
    <row r="289" spans="1:10">
      <c r="A289" s="66">
        <v>44340</v>
      </c>
      <c r="B289" s="66" t="s">
        <v>53</v>
      </c>
      <c r="C289" s="131" t="s">
        <v>8</v>
      </c>
      <c r="D289" s="131" t="s">
        <v>18</v>
      </c>
      <c r="E289" s="61">
        <v>4</v>
      </c>
      <c r="F289" s="61">
        <v>2</v>
      </c>
      <c r="G289" s="61">
        <f>Data[[#This Row],[Qty Delivered]]-Data[[#This Row],[Qty Sold]]</f>
        <v>2</v>
      </c>
      <c r="H289" s="130">
        <v>55</v>
      </c>
      <c r="I289" s="130">
        <f>(Data[[#This Row],[Gross]]*13%)+(Data[[#This Row],[Gross]]*13%)*15%+23</f>
        <v>31.2225</v>
      </c>
      <c r="J289" s="129">
        <f>Data[[#This Row],[Gross]]-Data[[#This Row],[Deduction]]</f>
        <v>23.7775</v>
      </c>
    </row>
    <row r="290" spans="1:10">
      <c r="A290" s="66">
        <v>44340</v>
      </c>
      <c r="B290" s="66" t="s">
        <v>53</v>
      </c>
      <c r="C290" s="131" t="s">
        <v>8</v>
      </c>
      <c r="D290" s="131" t="s">
        <v>17</v>
      </c>
      <c r="E290" s="61">
        <v>1</v>
      </c>
      <c r="F290" s="61">
        <v>0</v>
      </c>
      <c r="G290" s="61">
        <f>Data[[#This Row],[Qty Delivered]]-Data[[#This Row],[Qty Sold]]</f>
        <v>1</v>
      </c>
      <c r="H290" s="130">
        <v>0</v>
      </c>
      <c r="I290" s="130">
        <f>(Data[[#This Row],[Gross]]*13%)+(Data[[#This Row],[Gross]]*13%)*15%+23</f>
        <v>23</v>
      </c>
      <c r="J290" s="129">
        <f>Data[[#This Row],[Gross]]-Data[[#This Row],[Deduction]]</f>
        <v>-23</v>
      </c>
    </row>
    <row r="291" spans="1:10">
      <c r="A291" s="66">
        <v>44347</v>
      </c>
      <c r="B291" s="66" t="s">
        <v>53</v>
      </c>
      <c r="C291" s="131" t="s">
        <v>8</v>
      </c>
      <c r="D291" s="131" t="s">
        <v>109</v>
      </c>
      <c r="E291" s="61">
        <v>131</v>
      </c>
      <c r="F291" s="61">
        <v>60</v>
      </c>
      <c r="G291" s="61">
        <f>Data[[#This Row],[Qty Delivered]]-Data[[#This Row],[Qty Sold]]</f>
        <v>71</v>
      </c>
      <c r="H291" s="130">
        <v>4800</v>
      </c>
      <c r="I291" s="130">
        <f>(Data[[#This Row],[Gross]]*13%)+(Data[[#This Row],[Gross]]*13%)*15%+23</f>
        <v>740.6</v>
      </c>
      <c r="J291" s="129">
        <f>Data[[#This Row],[Gross]]-Data[[#This Row],[Deduction]]</f>
        <v>4059.4</v>
      </c>
    </row>
    <row r="292" spans="1:10">
      <c r="A292" s="66">
        <v>44349</v>
      </c>
      <c r="B292" s="66" t="s">
        <v>53</v>
      </c>
      <c r="C292" s="131" t="s">
        <v>8</v>
      </c>
      <c r="D292" s="131" t="s">
        <v>109</v>
      </c>
      <c r="E292" s="61">
        <v>138</v>
      </c>
      <c r="F292" s="61">
        <v>6</v>
      </c>
      <c r="G292" s="61">
        <f>Data[[#This Row],[Qty Delivered]]-Data[[#This Row],[Qty Sold]]</f>
        <v>132</v>
      </c>
      <c r="H292" s="130">
        <v>260</v>
      </c>
      <c r="I292" s="130">
        <f>(Data[[#This Row],[Gross]]*13%)+(Data[[#This Row],[Gross]]*13%)*15%+23</f>
        <v>61.870000000000005</v>
      </c>
      <c r="J292" s="129">
        <f>Data[[#This Row],[Gross]]-Data[[#This Row],[Deduction]]</f>
        <v>198.13</v>
      </c>
    </row>
    <row r="293" spans="1:10">
      <c r="A293" s="66">
        <v>44354</v>
      </c>
      <c r="B293" s="66" t="s">
        <v>53</v>
      </c>
      <c r="C293" s="131" t="s">
        <v>8</v>
      </c>
      <c r="D293" s="131" t="s">
        <v>10</v>
      </c>
      <c r="E293" s="61">
        <v>27</v>
      </c>
      <c r="F293" s="61">
        <v>12</v>
      </c>
      <c r="G293" s="61">
        <f>Data[[#This Row],[Qty Delivered]]-Data[[#This Row],[Qty Sold]]</f>
        <v>15</v>
      </c>
      <c r="H293" s="130">
        <v>180</v>
      </c>
      <c r="I293" s="130">
        <f>(Data[[#This Row],[Gross]]*13%)+(Data[[#This Row],[Gross]]*13%)*15%+23</f>
        <v>49.910000000000004</v>
      </c>
      <c r="J293" s="129">
        <f>Data[[#This Row],[Gross]]-Data[[#This Row],[Deduction]]</f>
        <v>130.09</v>
      </c>
    </row>
    <row r="294" spans="1:10">
      <c r="A294" s="66">
        <v>44354</v>
      </c>
      <c r="B294" s="66" t="s">
        <v>53</v>
      </c>
      <c r="C294" s="131" t="s">
        <v>8</v>
      </c>
      <c r="D294" s="131" t="s">
        <v>109</v>
      </c>
      <c r="E294" s="61">
        <v>108</v>
      </c>
      <c r="F294" s="61">
        <v>108</v>
      </c>
      <c r="G294" s="61">
        <f>Data[[#This Row],[Qty Delivered]]-Data[[#This Row],[Qty Sold]]</f>
        <v>0</v>
      </c>
      <c r="H294" s="130">
        <v>6480</v>
      </c>
      <c r="I294" s="130">
        <f>(Data[[#This Row],[Gross]]*13%)+(Data[[#This Row],[Gross]]*13%)*15%+23</f>
        <v>991.76</v>
      </c>
      <c r="J294" s="129">
        <f>Data[[#This Row],[Gross]]-Data[[#This Row],[Deduction]]</f>
        <v>5488.24</v>
      </c>
    </row>
    <row r="295" spans="1:10">
      <c r="A295" s="66">
        <v>44353</v>
      </c>
      <c r="B295" s="66" t="s">
        <v>53</v>
      </c>
      <c r="C295" s="131" t="s">
        <v>8</v>
      </c>
      <c r="D295" s="131" t="s">
        <v>109</v>
      </c>
      <c r="E295" s="61">
        <v>164</v>
      </c>
      <c r="F295" s="61">
        <v>42</v>
      </c>
      <c r="G295" s="61">
        <f>Data[[#This Row],[Qty Delivered]]-Data[[#This Row],[Qty Sold]]</f>
        <v>122</v>
      </c>
      <c r="H295" s="130">
        <v>2520</v>
      </c>
      <c r="I295" s="130">
        <f>(Data[[#This Row],[Gross]]*13%)+(Data[[#This Row],[Gross]]*13%)*15%+23</f>
        <v>399.74</v>
      </c>
      <c r="J295" s="129">
        <f>Data[[#This Row],[Gross]]-Data[[#This Row],[Deduction]]</f>
        <v>2120.2600000000002</v>
      </c>
    </row>
  </sheetData>
  <phoneticPr fontId="10" type="noConversion"/>
  <conditionalFormatting sqref="A2:J295">
    <cfRule type="expression" dxfId="0" priority="4">
      <formula>#REF!="0"</formula>
    </cfRule>
  </conditionalFormatting>
  <pageMargins left="0.7" right="0.7" top="0.75" bottom="0.75" header="0.3" footer="0.3"/>
  <pageSetup paperSize="9" scale="53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457A-7354-4A92-AC35-B3A7A56FB19F}">
  <dimension ref="K5:Z39"/>
  <sheetViews>
    <sheetView topLeftCell="K16" zoomScaleNormal="100" workbookViewId="0">
      <selection activeCell="U29" sqref="U29:Z39"/>
    </sheetView>
  </sheetViews>
  <sheetFormatPr defaultRowHeight="14.5"/>
  <cols>
    <col min="12" max="12" width="10.1796875" bestFit="1" customWidth="1"/>
    <col min="13" max="13" width="13.453125" bestFit="1" customWidth="1"/>
    <col min="14" max="14" width="7.54296875" bestFit="1" customWidth="1"/>
    <col min="15" max="15" width="13.453125" bestFit="1" customWidth="1"/>
    <col min="16" max="16" width="10" customWidth="1"/>
    <col min="17" max="17" width="12.26953125" bestFit="1" customWidth="1"/>
    <col min="18" max="18" width="14.54296875" customWidth="1"/>
    <col min="20" max="20" width="5.1796875" customWidth="1"/>
    <col min="21" max="21" width="5.1796875" bestFit="1" customWidth="1"/>
    <col min="22" max="22" width="13.453125" bestFit="1" customWidth="1"/>
    <col min="23" max="23" width="12.81640625" customWidth="1"/>
    <col min="24" max="24" width="12.26953125" customWidth="1"/>
    <col min="25" max="25" width="16" customWidth="1"/>
    <col min="26" max="26" width="12.54296875" bestFit="1" customWidth="1"/>
  </cols>
  <sheetData>
    <row r="5" spans="11:25" s="146" customFormat="1">
      <c r="K5" s="148" t="s">
        <v>123</v>
      </c>
      <c r="L5" s="154" t="s">
        <v>124</v>
      </c>
      <c r="M5" s="155" t="s">
        <v>1</v>
      </c>
      <c r="N5" s="151" t="s">
        <v>6</v>
      </c>
      <c r="O5" s="150" t="s">
        <v>2</v>
      </c>
      <c r="P5" s="148" t="s">
        <v>3</v>
      </c>
      <c r="Q5" s="148" t="s">
        <v>128</v>
      </c>
      <c r="R5" s="151" t="s">
        <v>12</v>
      </c>
    </row>
    <row r="6" spans="11:25" s="8" customFormat="1">
      <c r="K6" s="167">
        <v>1</v>
      </c>
      <c r="L6" s="167" t="s">
        <v>125</v>
      </c>
      <c r="M6" s="167" t="s">
        <v>44</v>
      </c>
      <c r="N6" s="153">
        <v>43831</v>
      </c>
      <c r="O6" s="169" t="e">
        <f>SUMIFS(Qty_Delivered,Produce,Sheet1!M6,#REF!,"&gt;=" &amp; Sheet1!N6,#REF!,"&lt;=" &amp; Sheet1!N7)</f>
        <v>#REF!</v>
      </c>
      <c r="P6" s="169" t="e">
        <f>SUMIFS(Qty_Sold,Produce,Sheet1!M6,#REF!,"&gt;=" &amp; Sheet1!N6,#REF!,"&lt;=" &amp; Sheet1!N7)</f>
        <v>#REF!</v>
      </c>
      <c r="Q6" s="169" t="e">
        <f>SUMIFS(Data[Qty Dischard],Produce,Sheet1!M6,#REF!,"&gt;=" &amp; Sheet1!N6,#REF!,"&lt;=" &amp; Sheet1!N7)</f>
        <v>#REF!</v>
      </c>
      <c r="R6" s="158" t="e">
        <f>SUMIFS('Inpute Data'!J2:J295,Produce,Sheet1!M6,#REF!,"&gt;=" &amp; Sheet1!N6,#REF!,"&lt;=" &amp; Sheet1!N7)</f>
        <v>#REF!</v>
      </c>
    </row>
    <row r="7" spans="11:25" s="8" customFormat="1">
      <c r="K7" s="168"/>
      <c r="L7" s="168"/>
      <c r="M7" s="168"/>
      <c r="N7" s="153">
        <v>43868</v>
      </c>
      <c r="O7" s="169"/>
      <c r="P7" s="169"/>
      <c r="Q7" s="169"/>
      <c r="R7" s="158"/>
    </row>
    <row r="8" spans="11:25" s="8" customFormat="1">
      <c r="K8" s="167">
        <v>2</v>
      </c>
      <c r="L8" s="167" t="s">
        <v>125</v>
      </c>
      <c r="M8" s="167" t="s">
        <v>29</v>
      </c>
      <c r="N8" s="152">
        <v>43831</v>
      </c>
      <c r="O8" s="167" t="e">
        <f>SUMIFS(Qty_Delivered,Produce,Sheet1!M8,#REF!,"&gt;=" &amp; Sheet1!N8,#REF!,"&lt;=" &amp; Sheet1!N9)</f>
        <v>#REF!</v>
      </c>
      <c r="P8" s="167" t="e">
        <f>SUMIFS(Qty_Sold,Produce,Sheet1!M8,#REF!,"&gt;=" &amp; Sheet1!N8,#REF!,"&lt;=" &amp; Sheet1!N9)</f>
        <v>#REF!</v>
      </c>
      <c r="Q8" s="167" t="e">
        <f>SUMIFS(Data[Qty Dischard],Produce,Sheet1!M8,#REF!,"&gt;=" &amp; Sheet1!N8,#REF!,"&lt;=" &amp; Sheet1!N9)</f>
        <v>#REF!</v>
      </c>
      <c r="R8" s="166" t="e">
        <f>SUMIFS('Inpute Data'!J2:J296,Produce,Sheet1!M8,#REF!,"&gt;=" &amp; Sheet1!N8,#REF!,"&lt;=" &amp; Sheet1!N9)</f>
        <v>#REF!</v>
      </c>
    </row>
    <row r="9" spans="11:25" s="8" customFormat="1">
      <c r="K9" s="168"/>
      <c r="L9" s="168"/>
      <c r="M9" s="168"/>
      <c r="N9" s="152">
        <v>43981</v>
      </c>
      <c r="O9" s="168"/>
      <c r="P9" s="168"/>
      <c r="Q9" s="168"/>
      <c r="R9" s="166"/>
    </row>
    <row r="10" spans="11:25" s="8" customFormat="1">
      <c r="K10" s="167">
        <v>3</v>
      </c>
      <c r="L10" s="167" t="s">
        <v>125</v>
      </c>
      <c r="M10" s="167" t="s">
        <v>30</v>
      </c>
      <c r="N10" s="152">
        <v>43844</v>
      </c>
      <c r="O10" s="167" t="e">
        <f>SUMIFS(Qty_Delivered,Produce,Sheet1!M10,#REF!,"&gt;=" &amp; Sheet1!N10,#REF!,"&lt;=" &amp; Sheet1!N11)</f>
        <v>#REF!</v>
      </c>
      <c r="P10" s="167" t="e">
        <f>SUMIFS(Qty_Sold,Produce,Sheet1!M10,#REF!,"&gt;=" &amp; Sheet1!N10,#REF!,"&lt;=" &amp; Sheet1!N11)</f>
        <v>#REF!</v>
      </c>
      <c r="Q10" s="167" t="e">
        <f>SUMIFS(Data[Qty Dischard],Produce,Sheet1!M10,#REF!,"&gt;=" &amp; Sheet1!N10,#REF!,"&lt;=" &amp; Sheet1!N11)</f>
        <v>#REF!</v>
      </c>
      <c r="R10" s="166" t="e">
        <f>SUMIFS('Inpute Data'!J4:J298,Produce,Sheet1!M10,#REF!,"&gt;=" &amp; Sheet1!N10,#REF!,"&lt;=" &amp; Sheet1!N11)</f>
        <v>#REF!</v>
      </c>
    </row>
    <row r="11" spans="11:25" s="8" customFormat="1">
      <c r="K11" s="168"/>
      <c r="L11" s="168"/>
      <c r="M11" s="168"/>
      <c r="N11" s="152">
        <v>43978</v>
      </c>
      <c r="O11" s="168"/>
      <c r="P11" s="168"/>
      <c r="Q11" s="168"/>
      <c r="R11" s="166"/>
    </row>
    <row r="12" spans="11:25" s="8" customFormat="1">
      <c r="K12" s="167">
        <v>4</v>
      </c>
      <c r="L12" s="167" t="s">
        <v>126</v>
      </c>
      <c r="M12" s="167" t="s">
        <v>34</v>
      </c>
      <c r="N12" s="152">
        <v>44011</v>
      </c>
      <c r="O12" s="167" t="e">
        <f>SUMIFS(Qty_Delivered,Produce,Sheet1!M12,#REF!,"&gt;=" &amp; Sheet1!N12,#REF!,"&lt;=" &amp; Sheet1!N13)</f>
        <v>#REF!</v>
      </c>
      <c r="P12" s="167" t="e">
        <f>SUMIFS(Qty_Sold,Produce,Sheet1!M12,#REF!,"&gt;=" &amp; Sheet1!N12,#REF!,"&lt;=" &amp; Sheet1!N13)</f>
        <v>#REF!</v>
      </c>
      <c r="Q12" s="167" t="e">
        <f>SUMIFS(Data[Qty Dischard],Produce,Sheet1!M12,#REF!,"&gt;=" &amp; Sheet1!N12,#REF!,"&lt;=" &amp; Sheet1!N13)</f>
        <v>#REF!</v>
      </c>
      <c r="R12" s="166" t="e">
        <f>SUMIFS('Inpute Data'!J6:J300,Produce,Sheet1!M12,#REF!,"&gt;=" &amp; Sheet1!N12,#REF!,"&lt;=" &amp; Sheet1!N13)</f>
        <v>#REF!</v>
      </c>
    </row>
    <row r="13" spans="11:25" s="8" customFormat="1">
      <c r="K13" s="168"/>
      <c r="L13" s="168"/>
      <c r="M13" s="168"/>
      <c r="N13" s="152">
        <v>44077</v>
      </c>
      <c r="O13" s="168"/>
      <c r="P13" s="168"/>
      <c r="Q13" s="168"/>
      <c r="R13" s="166"/>
    </row>
    <row r="14" spans="11:25">
      <c r="K14" s="167">
        <v>5</v>
      </c>
      <c r="L14" s="167" t="s">
        <v>126</v>
      </c>
      <c r="M14" s="167" t="s">
        <v>35</v>
      </c>
      <c r="N14" s="152">
        <v>44013</v>
      </c>
      <c r="O14" s="167" t="e">
        <f>SUMIFS(Qty_Delivered,Produce,Sheet1!M14,#REF!,"&gt;=" &amp; Sheet1!N14,#REF!,"&lt;=" &amp; Sheet1!N15)</f>
        <v>#REF!</v>
      </c>
      <c r="P14" s="167" t="e">
        <f>SUMIFS(Qty_Sold,Produce,Sheet1!M14,#REF!,"&gt;=" &amp; Sheet1!N14,#REF!,"&lt;=" &amp; Sheet1!N15)</f>
        <v>#REF!</v>
      </c>
      <c r="Q14" s="167" t="e">
        <f>SUMIFS(Data[Qty Dischard],Produce,Sheet1!M14,#REF!,"&gt;=" &amp; Sheet1!N14,#REF!,"&lt;=" &amp; Sheet1!N15)</f>
        <v>#REF!</v>
      </c>
      <c r="R14" s="166" t="e">
        <f>SUMIFS('Inpute Data'!J8:J302,Produce,Sheet1!M14,#REF!,"&gt;=" &amp; Sheet1!N14,#REF!,"&lt;=" &amp; Sheet1!N15)</f>
        <v>#REF!</v>
      </c>
    </row>
    <row r="15" spans="11:25">
      <c r="K15" s="168"/>
      <c r="L15" s="168"/>
      <c r="M15" s="168"/>
      <c r="N15" s="152">
        <v>44018</v>
      </c>
      <c r="O15" s="168"/>
      <c r="P15" s="168"/>
      <c r="Q15" s="168"/>
      <c r="R15" s="166"/>
    </row>
    <row r="16" spans="11:25" s="8" customFormat="1">
      <c r="K16" s="167">
        <v>6</v>
      </c>
      <c r="L16" s="167" t="s">
        <v>125</v>
      </c>
      <c r="M16" s="167" t="s">
        <v>31</v>
      </c>
      <c r="N16" s="152">
        <v>43858</v>
      </c>
      <c r="O16" s="167" t="e">
        <f>SUMIFS(Qty_Delivered,Produce,Sheet1!M16,#REF!,"&gt;=" &amp; Sheet1!N16,#REF!,"&lt;=" &amp; Sheet1!N17)</f>
        <v>#REF!</v>
      </c>
      <c r="P16" s="167" t="e">
        <f>SUMIFS(Qty_Sold,Produce,Sheet1!M16,#REF!,"&gt;=" &amp; Sheet1!N16,#REF!,"&lt;=" &amp; Sheet1!N17)</f>
        <v>#REF!</v>
      </c>
      <c r="Q16" s="167" t="e">
        <f>SUMIFS(Data[Qty Dischard],Produce,Sheet1!M16,#REF!,"&gt;=" &amp; Sheet1!N16,#REF!,"&lt;=" &amp; Sheet1!N17)</f>
        <v>#REF!</v>
      </c>
      <c r="R16" s="166" t="e">
        <f>SUMIFS('Inpute Data'!J10:J304,Produce,Sheet1!M16,#REF!,"&gt;=" &amp; Sheet1!N16,#REF!,"&lt;=" &amp; Sheet1!N17)</f>
        <v>#REF!</v>
      </c>
      <c r="T16"/>
      <c r="U16"/>
      <c r="V16" s="159"/>
      <c r="W16"/>
      <c r="X16"/>
      <c r="Y16"/>
    </row>
    <row r="17" spans="11:26" s="8" customFormat="1">
      <c r="K17" s="168"/>
      <c r="L17" s="168"/>
      <c r="M17" s="168"/>
      <c r="N17" s="152">
        <v>44092</v>
      </c>
      <c r="O17" s="168"/>
      <c r="P17" s="168"/>
      <c r="Q17" s="168"/>
      <c r="R17" s="166"/>
    </row>
    <row r="18" spans="11:26" s="8" customFormat="1">
      <c r="K18" s="167">
        <v>7</v>
      </c>
      <c r="L18" s="167" t="s">
        <v>125</v>
      </c>
      <c r="M18" s="167" t="s">
        <v>19</v>
      </c>
      <c r="N18" s="152">
        <v>44166</v>
      </c>
      <c r="O18" s="167" t="e">
        <f>SUMIFS(Qty_Delivered,Produce,Sheet1!M18,#REF!,"&gt;=" &amp; Sheet1!N18,#REF!,"&lt;=" &amp; Sheet1!N19)</f>
        <v>#REF!</v>
      </c>
      <c r="P18" s="167" t="e">
        <f>SUMIFS(Qty_Sold,Produce,Sheet1!M18,#REF!,"&gt;=" &amp; Sheet1!N18,#REF!,"&lt;=" &amp; Sheet1!N19)</f>
        <v>#REF!</v>
      </c>
      <c r="Q18" s="167" t="e">
        <f>SUMIFS(Data[Qty Dischard],Produce,Sheet1!M18,#REF!,"&gt;=" &amp; Sheet1!N18,#REF!,"&lt;=" &amp; Sheet1!N19)</f>
        <v>#REF!</v>
      </c>
      <c r="R18" s="166" t="e">
        <f>SUMIFS('Inpute Data'!J13:J306,Produce,Sheet1!M18,#REF!,"&gt;=" &amp; Sheet1!N18,#REF!,"&lt;=" &amp; Sheet1!N19)</f>
        <v>#REF!</v>
      </c>
    </row>
    <row r="19" spans="11:26" s="8" customFormat="1">
      <c r="K19" s="168"/>
      <c r="L19" s="168"/>
      <c r="M19" s="168"/>
      <c r="N19" s="152">
        <v>44255</v>
      </c>
      <c r="O19" s="168"/>
      <c r="P19" s="168"/>
      <c r="Q19" s="168"/>
      <c r="R19" s="166"/>
    </row>
    <row r="20" spans="11:26" s="146" customFormat="1">
      <c r="K20" s="167">
        <v>8</v>
      </c>
      <c r="L20" s="167" t="s">
        <v>125</v>
      </c>
      <c r="M20" s="167" t="s">
        <v>10</v>
      </c>
      <c r="N20" s="149">
        <v>44136</v>
      </c>
      <c r="O20" s="167" t="e">
        <f>SUMIFS(Qty_Delivered,Produce,Sheet1!M20,#REF!,"&gt;=" &amp; Sheet1!N20,#REF!,"&lt;=" &amp; Sheet1!N21)</f>
        <v>#REF!</v>
      </c>
      <c r="P20" s="167" t="e">
        <f>SUMIFS(Qty_Sold,Produce,Sheet1!M20,#REF!,"&gt;=" &amp; Sheet1!N20,#REF!,"&lt;=" &amp; Sheet1!N21)</f>
        <v>#REF!</v>
      </c>
      <c r="Q20" s="167" t="e">
        <f>SUMIFS(Data[Qty Dischard],Produce,Sheet1!M20,#REF!,"&gt;=" &amp; Sheet1!N20,#REF!,"&lt;=" &amp; Sheet1!N21)</f>
        <v>#REF!</v>
      </c>
      <c r="R20" s="166" t="e">
        <f>SUMIFS('Inpute Data'!J15:J308,Produce,Sheet1!M20,#REF!,"&gt;=" &amp; Sheet1!N20,#REF!,"&lt;=" &amp; Sheet1!N21)</f>
        <v>#REF!</v>
      </c>
    </row>
    <row r="21" spans="11:26" s="8" customFormat="1">
      <c r="K21" s="168"/>
      <c r="L21" s="168"/>
      <c r="M21" s="168"/>
      <c r="N21" s="149">
        <v>44255</v>
      </c>
      <c r="O21" s="168"/>
      <c r="P21" s="168"/>
      <c r="Q21" s="168"/>
      <c r="R21" s="166"/>
    </row>
    <row r="22" spans="11:26" s="8" customFormat="1">
      <c r="K22" s="167">
        <v>9</v>
      </c>
      <c r="L22" s="167" t="s">
        <v>125</v>
      </c>
      <c r="M22" s="167" t="s">
        <v>17</v>
      </c>
      <c r="N22" s="152">
        <v>44200</v>
      </c>
      <c r="O22" s="167" t="e">
        <f>SUMIFS(Qty_Delivered,Produce,Sheet1!M22,#REF!,"&gt;=" &amp; Sheet1!N22,#REF!,"&lt;=" &amp; Sheet1!N23)</f>
        <v>#REF!</v>
      </c>
      <c r="P22" s="167" t="e">
        <f>SUMIFS(Qty_Sold,Produce,Sheet1!M22,#REF!,"&gt;=" &amp; Sheet1!N22,#REF!,"&lt;=" &amp; Sheet1!N23)</f>
        <v>#REF!</v>
      </c>
      <c r="Q22" s="167" t="e">
        <f>SUMIFS(Data[Qty Dischard],Produce,Sheet1!M22,#REF!,"&gt;=" &amp; Sheet1!N22,#REF!,"&lt;=" &amp; Sheet1!N23)</f>
        <v>#REF!</v>
      </c>
      <c r="R22" s="166" t="e">
        <f>SUMIFS('Inpute Data'!J17:J310,Produce,Sheet1!M22,#REF!,"&gt;=" &amp; Sheet1!N22,#REF!,"&lt;=" &amp; Sheet1!N23)</f>
        <v>#REF!</v>
      </c>
    </row>
    <row r="23" spans="11:26" s="8" customFormat="1">
      <c r="K23" s="168"/>
      <c r="L23" s="168"/>
      <c r="M23" s="168"/>
      <c r="N23" s="152">
        <v>44249</v>
      </c>
      <c r="O23" s="168"/>
      <c r="P23" s="168"/>
      <c r="Q23" s="168"/>
      <c r="R23" s="166"/>
    </row>
    <row r="24" spans="11:26">
      <c r="K24" s="167">
        <v>10</v>
      </c>
      <c r="L24" s="167" t="s">
        <v>125</v>
      </c>
      <c r="M24" s="167" t="s">
        <v>18</v>
      </c>
      <c r="N24" s="152">
        <v>44202</v>
      </c>
      <c r="O24" s="167" t="e">
        <f>SUMIFS(Qty_Delivered,Produce,Sheet1!M24,#REF!,"&gt;=" &amp; Sheet1!N24,#REF!,"&lt;=" &amp; Sheet1!N25)</f>
        <v>#REF!</v>
      </c>
      <c r="P24" s="167" t="e">
        <f>SUMIFS(Qty_Sold,Produce,Sheet1!M24,#REF!,"&gt;=" &amp; Sheet1!N24,#REF!,"&lt;=" &amp; Sheet1!N25)</f>
        <v>#REF!</v>
      </c>
      <c r="Q24" s="167" t="e">
        <f>SUMIFS(Data[Qty Dischard],Produce,Sheet1!M24,#REF!,"&gt;=" &amp; Sheet1!N24,#REF!,"&lt;=" &amp; Sheet1!N25)</f>
        <v>#REF!</v>
      </c>
      <c r="R24" s="166" t="e">
        <f>SUMIFS('Inpute Data'!J19:J312,Produce,Sheet1!M24,#REF!,"&gt;=" &amp; Sheet1!N24,#REF!,"&lt;=" &amp; Sheet1!N25)</f>
        <v>#REF!</v>
      </c>
    </row>
    <row r="25" spans="11:26">
      <c r="K25" s="168"/>
      <c r="L25" s="168"/>
      <c r="M25" s="168"/>
      <c r="N25" s="152">
        <v>44249</v>
      </c>
      <c r="O25" s="168"/>
      <c r="P25" s="168"/>
      <c r="Q25" s="168"/>
      <c r="R25" s="166"/>
    </row>
    <row r="26" spans="11:26" s="8" customFormat="1">
      <c r="K26" s="167">
        <v>11</v>
      </c>
      <c r="L26" s="167" t="s">
        <v>127</v>
      </c>
      <c r="M26" s="167" t="s">
        <v>122</v>
      </c>
      <c r="N26" s="152">
        <v>44249</v>
      </c>
      <c r="O26" s="167" t="e">
        <f>SUMIFS(Qty_Delivered,Produce,Sheet1!M26,#REF!,"&gt;=" &amp; Sheet1!N26,#REF!,"&lt;=" &amp; Sheet1!N27)</f>
        <v>#REF!</v>
      </c>
      <c r="P26" s="167" t="e">
        <f>SUMIFS(Qty_Sold,Produce,Sheet1!M26,#REF!,"&gt;=" &amp; Sheet1!N26,#REF!,"&lt;=" &amp; Sheet1!N27)</f>
        <v>#REF!</v>
      </c>
      <c r="Q26" s="167" t="e">
        <f>SUMIFS(Data[Qty Dischard],Produce,Sheet1!M26,#REF!,"&gt;=" &amp; Sheet1!N26,#REF!,"&lt;=" &amp; Sheet1!N27)</f>
        <v>#REF!</v>
      </c>
      <c r="R26" s="166" t="e">
        <f>SUMIFS('Inpute Data'!J21:J314,Produce,Sheet1!M26,#REF!,"&gt;=" &amp; Sheet1!N26,#REF!,"&lt;=" &amp; Sheet1!N27)</f>
        <v>#REF!</v>
      </c>
    </row>
    <row r="27" spans="11:26" s="8" customFormat="1">
      <c r="K27" s="168"/>
      <c r="L27" s="168"/>
      <c r="M27" s="168"/>
      <c r="N27" s="152">
        <v>44250</v>
      </c>
      <c r="O27" s="168"/>
      <c r="P27" s="168"/>
      <c r="Q27" s="168"/>
      <c r="R27" s="166"/>
    </row>
    <row r="29" spans="11:26">
      <c r="U29" s="127" t="s">
        <v>123</v>
      </c>
      <c r="V29" s="157" t="s">
        <v>0</v>
      </c>
      <c r="W29" s="150" t="s">
        <v>2</v>
      </c>
      <c r="X29" s="148" t="s">
        <v>3</v>
      </c>
      <c r="Y29" s="148" t="s">
        <v>128</v>
      </c>
      <c r="Z29" s="151" t="s">
        <v>12</v>
      </c>
    </row>
    <row r="30" spans="11:26">
      <c r="U30" s="122">
        <v>1</v>
      </c>
      <c r="V30" s="122" t="s">
        <v>33</v>
      </c>
      <c r="W30" s="156">
        <f>SUMIFS(Qty_Delivered,Data[Agent],Sheet1!V30)</f>
        <v>24392</v>
      </c>
      <c r="X30" s="156">
        <f>SUMIFS(Qty_Sold,Data[Agent],Sheet1!V30)</f>
        <v>21977</v>
      </c>
      <c r="Y30" s="156">
        <f>SUMIFS(Data[Qty Dischard],Data[Agent],Sheet1!V30)</f>
        <v>2415</v>
      </c>
      <c r="Z30" s="158">
        <f>SUMIFS(Gross_Profit,Data[Agent],Sheet1!V30)</f>
        <v>623974.70449500019</v>
      </c>
    </row>
    <row r="31" spans="11:26">
      <c r="U31" s="122">
        <v>2</v>
      </c>
      <c r="V31" s="122" t="s">
        <v>8</v>
      </c>
      <c r="W31" s="156">
        <f>SUMIFS(Qty_Delivered,Data[Agent],Sheet1!V31)</f>
        <v>22332</v>
      </c>
      <c r="X31" s="156">
        <f>SUMIFS(Qty_Sold,Data[Agent],Sheet1!V31)</f>
        <v>17423</v>
      </c>
      <c r="Y31" s="156">
        <f>SUMIFS(Data[Qty Dischard],Data[Agent],Sheet1!V31)</f>
        <v>4909</v>
      </c>
      <c r="Z31" s="158">
        <f>SUMIFS(Gross_Profit,Data[Agent],Sheet1!V31)</f>
        <v>451792.74000000005</v>
      </c>
    </row>
    <row r="32" spans="11:26">
      <c r="U32" s="122">
        <v>3</v>
      </c>
      <c r="V32" s="122" t="s">
        <v>37</v>
      </c>
      <c r="W32" s="156">
        <f>SUMIFS(Qty_Delivered,Data[Agent],Sheet1!V32)</f>
        <v>3063</v>
      </c>
      <c r="X32" s="156">
        <f>SUMIFS(Qty_Sold,Data[Agent],Sheet1!V32)</f>
        <v>2394</v>
      </c>
      <c r="Y32" s="156">
        <f>SUMIFS(Data[Qty Dischard],Data[Agent],Sheet1!V32)</f>
        <v>669</v>
      </c>
      <c r="Z32" s="158">
        <f>SUMIFS(Gross_Profit,Data[Agent],Sheet1!V32)</f>
        <v>108443.30549999999</v>
      </c>
    </row>
    <row r="33" spans="21:26">
      <c r="U33" s="122">
        <v>4</v>
      </c>
      <c r="V33" s="122" t="s">
        <v>39</v>
      </c>
      <c r="W33" s="156">
        <f>SUMIFS(Qty_Delivered,Data[Agent],Sheet1!V33)</f>
        <v>1441</v>
      </c>
      <c r="X33" s="156">
        <f>SUMIFS(Qty_Sold,Data[Agent],Sheet1!V33)</f>
        <v>1232</v>
      </c>
      <c r="Y33" s="156">
        <f>SUMIFS(Data[Qty Dischard],Data[Agent],Sheet1!V33)</f>
        <v>209</v>
      </c>
      <c r="Z33" s="158">
        <f>SUMIFS(Gross_Profit,Data[Agent],Sheet1!V33)</f>
        <v>62345.318500000001</v>
      </c>
    </row>
    <row r="34" spans="21:26">
      <c r="U34" s="122">
        <v>5</v>
      </c>
      <c r="V34" s="122" t="s">
        <v>108</v>
      </c>
      <c r="W34" s="156">
        <f>SUMIFS(Qty_Delivered,Data[Agent],Sheet1!V34)</f>
        <v>2193</v>
      </c>
      <c r="X34" s="156">
        <f>SUMIFS(Qty_Sold,Data[Agent],Sheet1!V34)</f>
        <v>2193</v>
      </c>
      <c r="Y34" s="156">
        <f>SUMIFS(Data[Qty Dischard],Data[Agent],Sheet1!V34)</f>
        <v>0</v>
      </c>
      <c r="Z34" s="158">
        <f>SUMIFS(Gross_Profit,Data[Agent],Sheet1!V34)</f>
        <v>58622.011999999995</v>
      </c>
    </row>
    <row r="35" spans="21:26">
      <c r="U35" s="122">
        <v>6</v>
      </c>
      <c r="V35" s="122" t="s">
        <v>107</v>
      </c>
      <c r="W35" s="156">
        <f>SUMIFS(Qty_Delivered,Data[Agent],Sheet1!V35)</f>
        <v>2035</v>
      </c>
      <c r="X35" s="156">
        <f>SUMIFS(Qty_Sold,Data[Agent],Sheet1!V35)</f>
        <v>2035</v>
      </c>
      <c r="Y35" s="156">
        <f>SUMIFS(Data[Qty Dischard],Data[Agent],Sheet1!V35)</f>
        <v>0</v>
      </c>
      <c r="Z35" s="158">
        <f>SUMIFS(Gross_Profit,Data[Agent],Sheet1!V35)</f>
        <v>40525.96</v>
      </c>
    </row>
    <row r="36" spans="21:26">
      <c r="U36" s="122">
        <v>7</v>
      </c>
      <c r="V36" s="122" t="s">
        <v>72</v>
      </c>
      <c r="W36" s="156">
        <f>SUMIFS(Qty_Delivered,Data[Agent],Sheet1!V36)</f>
        <v>4966</v>
      </c>
      <c r="X36" s="156">
        <f>SUMIFS(Qty_Sold,Data[Agent],Sheet1!V36)</f>
        <v>1408</v>
      </c>
      <c r="Y36" s="156">
        <f>SUMIFS(Data[Qty Dischard],Data[Agent],Sheet1!V36)</f>
        <v>3558</v>
      </c>
      <c r="Z36" s="158">
        <f>SUMIFS(Gross_Profit,Data[Agent],Sheet1!V36)</f>
        <v>33049.846000000005</v>
      </c>
    </row>
    <row r="37" spans="21:26">
      <c r="U37" s="122">
        <v>8</v>
      </c>
      <c r="V37" s="122" t="s">
        <v>22</v>
      </c>
      <c r="W37" s="156">
        <f>SUMIFS(Qty_Delivered,Data[Agent],Sheet1!V37)</f>
        <v>905</v>
      </c>
      <c r="X37" s="156">
        <f>SUMIFS(Qty_Sold,Data[Agent],Sheet1!V37)</f>
        <v>702</v>
      </c>
      <c r="Y37" s="156">
        <f>SUMIFS(Data[Qty Dischard],Data[Agent],Sheet1!V37)</f>
        <v>203</v>
      </c>
      <c r="Z37" s="158">
        <f>SUMIFS(Gross_Profit,Data[Agent],Sheet1!V37)</f>
        <v>31786.033825000002</v>
      </c>
    </row>
    <row r="38" spans="21:26">
      <c r="U38" s="122">
        <v>9</v>
      </c>
      <c r="V38" s="122" t="s">
        <v>36</v>
      </c>
      <c r="W38" s="156">
        <f>SUMIFS(Qty_Delivered,Data[Agent],Sheet1!V38)</f>
        <v>362</v>
      </c>
      <c r="X38" s="156">
        <f>SUMIFS(Qty_Sold,Data[Agent],Sheet1!V38)</f>
        <v>362</v>
      </c>
      <c r="Y38" s="156">
        <f>SUMIFS(Data[Qty Dischard],Data[Agent],Sheet1!V38)</f>
        <v>0</v>
      </c>
      <c r="Z38" s="158">
        <f>SUMIFS(Gross_Profit,Data[Agent],Sheet1!V38)</f>
        <v>20735.967499999999</v>
      </c>
    </row>
    <row r="39" spans="21:26">
      <c r="U39" s="122">
        <v>10</v>
      </c>
      <c r="V39" s="122" t="s">
        <v>9</v>
      </c>
      <c r="W39" s="156">
        <f>SUMIFS(Qty_Delivered,Data[Agent],Sheet1!V39)</f>
        <v>396</v>
      </c>
      <c r="X39" s="156">
        <f>SUMIFS(Qty_Sold,Data[Agent],Sheet1!V39)</f>
        <v>328</v>
      </c>
      <c r="Y39" s="156">
        <f>SUMIFS(Data[Qty Dischard],Data[Agent],Sheet1!V39)</f>
        <v>68</v>
      </c>
      <c r="Z39" s="158">
        <f>SUMIFS(Gross_Profit,Data[Agent],Sheet1!V39)</f>
        <v>7533.6925000000001</v>
      </c>
    </row>
  </sheetData>
  <mergeCells count="76">
    <mergeCell ref="P6:P7"/>
    <mergeCell ref="Q6:Q7"/>
    <mergeCell ref="M26:M27"/>
    <mergeCell ref="M10:M11"/>
    <mergeCell ref="K6:K7"/>
    <mergeCell ref="K16:K17"/>
    <mergeCell ref="K22:K23"/>
    <mergeCell ref="K14:K15"/>
    <mergeCell ref="K24:K25"/>
    <mergeCell ref="K18:K19"/>
    <mergeCell ref="K8:K9"/>
    <mergeCell ref="K12:K13"/>
    <mergeCell ref="K10:K11"/>
    <mergeCell ref="K26:K27"/>
    <mergeCell ref="M20:M21"/>
    <mergeCell ref="K20:K21"/>
    <mergeCell ref="L26:L27"/>
    <mergeCell ref="L6:L7"/>
    <mergeCell ref="L16:L17"/>
    <mergeCell ref="L22:L23"/>
    <mergeCell ref="L14:L15"/>
    <mergeCell ref="L20:L21"/>
    <mergeCell ref="L18:L19"/>
    <mergeCell ref="L8:L9"/>
    <mergeCell ref="L12:L13"/>
    <mergeCell ref="O16:O17"/>
    <mergeCell ref="L24:L25"/>
    <mergeCell ref="O6:O7"/>
    <mergeCell ref="O14:O15"/>
    <mergeCell ref="O12:O13"/>
    <mergeCell ref="O10:O11"/>
    <mergeCell ref="L10:L11"/>
    <mergeCell ref="M24:M25"/>
    <mergeCell ref="M12:M13"/>
    <mergeCell ref="M8:M9"/>
    <mergeCell ref="M14:M15"/>
    <mergeCell ref="M22:M23"/>
    <mergeCell ref="M16:M17"/>
    <mergeCell ref="M6:M7"/>
    <mergeCell ref="M18:M19"/>
    <mergeCell ref="Q16:Q17"/>
    <mergeCell ref="O8:O9"/>
    <mergeCell ref="P26:P27"/>
    <mergeCell ref="P24:P25"/>
    <mergeCell ref="P22:P23"/>
    <mergeCell ref="P20:P21"/>
    <mergeCell ref="P18:P19"/>
    <mergeCell ref="P16:P17"/>
    <mergeCell ref="P14:P15"/>
    <mergeCell ref="P12:P13"/>
    <mergeCell ref="P10:P11"/>
    <mergeCell ref="O26:O27"/>
    <mergeCell ref="O24:O25"/>
    <mergeCell ref="O22:O23"/>
    <mergeCell ref="O20:O21"/>
    <mergeCell ref="O18:O19"/>
    <mergeCell ref="R8:R9"/>
    <mergeCell ref="R10:R11"/>
    <mergeCell ref="R12:R13"/>
    <mergeCell ref="R14:R15"/>
    <mergeCell ref="P8:P9"/>
    <mergeCell ref="Q8:Q9"/>
    <mergeCell ref="Q10:Q11"/>
    <mergeCell ref="Q14:Q15"/>
    <mergeCell ref="Q12:Q13"/>
    <mergeCell ref="R26:R27"/>
    <mergeCell ref="Q18:Q19"/>
    <mergeCell ref="Q20:Q21"/>
    <mergeCell ref="Q22:Q23"/>
    <mergeCell ref="Q24:Q25"/>
    <mergeCell ref="Q26:Q27"/>
    <mergeCell ref="R16:R17"/>
    <mergeCell ref="R18:R19"/>
    <mergeCell ref="R20:R21"/>
    <mergeCell ref="R22:R23"/>
    <mergeCell ref="R24:R2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7AF0-B85F-405B-AA5C-3D2BD6B3052F}">
  <dimension ref="B2:N18"/>
  <sheetViews>
    <sheetView showGridLines="0" topLeftCell="A4" zoomScale="130" zoomScaleNormal="130" workbookViewId="0">
      <selection activeCell="J5" sqref="J5:J6"/>
    </sheetView>
  </sheetViews>
  <sheetFormatPr defaultRowHeight="14.5"/>
  <cols>
    <col min="1" max="1" width="0.7265625" customWidth="1"/>
    <col min="2" max="2" width="18.1796875" bestFit="1" customWidth="1"/>
    <col min="3" max="3" width="5.81640625" style="144" bestFit="1" customWidth="1"/>
    <col min="4" max="4" width="6.1796875" bestFit="1" customWidth="1"/>
    <col min="5" max="5" width="12.26953125" bestFit="1" customWidth="1"/>
    <col min="6" max="6" width="11.7265625" bestFit="1" customWidth="1"/>
    <col min="7" max="7" width="11.26953125" bestFit="1" customWidth="1"/>
    <col min="8" max="8" width="1.453125" customWidth="1"/>
    <col min="9" max="9" width="18" bestFit="1" customWidth="1"/>
    <col min="10" max="10" width="5" style="8" bestFit="1" customWidth="1"/>
    <col min="12" max="12" width="11.1796875" bestFit="1" customWidth="1"/>
    <col min="13" max="13" width="11.7265625" bestFit="1" customWidth="1"/>
    <col min="14" max="14" width="9.7265625" bestFit="1" customWidth="1"/>
  </cols>
  <sheetData>
    <row r="2" spans="2:14">
      <c r="B2" s="134" t="s">
        <v>110</v>
      </c>
      <c r="C2" s="135"/>
      <c r="D2" s="136"/>
      <c r="E2" s="136"/>
      <c r="F2" s="136"/>
      <c r="G2" s="136"/>
      <c r="I2" s="134" t="s">
        <v>111</v>
      </c>
      <c r="J2" s="137"/>
      <c r="K2" s="136"/>
      <c r="L2" s="136"/>
      <c r="M2" s="136"/>
      <c r="N2" s="136"/>
    </row>
    <row r="3" spans="2:14">
      <c r="B3" s="118"/>
      <c r="C3" s="138"/>
      <c r="D3" s="118" t="s">
        <v>112</v>
      </c>
      <c r="E3" s="139">
        <v>9171</v>
      </c>
      <c r="F3" s="118"/>
      <c r="G3" s="118"/>
      <c r="I3" s="118"/>
      <c r="J3" s="140"/>
      <c r="K3" s="118" t="s">
        <v>112</v>
      </c>
      <c r="L3" s="139">
        <v>1843.68</v>
      </c>
      <c r="M3" s="118"/>
      <c r="N3" s="118"/>
    </row>
    <row r="4" spans="2:14">
      <c r="B4" s="118"/>
      <c r="C4" s="138" t="s">
        <v>113</v>
      </c>
      <c r="D4" s="118"/>
      <c r="E4" s="118" t="s">
        <v>114</v>
      </c>
      <c r="F4" s="118" t="s">
        <v>115</v>
      </c>
      <c r="G4" s="118" t="s">
        <v>45</v>
      </c>
      <c r="I4" s="118"/>
      <c r="J4" s="140" t="s">
        <v>113</v>
      </c>
      <c r="K4" s="118"/>
      <c r="L4" s="118" t="s">
        <v>114</v>
      </c>
      <c r="M4" s="118" t="s">
        <v>115</v>
      </c>
      <c r="N4" s="118" t="s">
        <v>45</v>
      </c>
    </row>
    <row r="5" spans="2:14">
      <c r="B5" s="118" t="s">
        <v>116</v>
      </c>
      <c r="C5" s="141">
        <v>0.05</v>
      </c>
      <c r="D5" s="118"/>
      <c r="E5" s="139">
        <f>E3*C5</f>
        <v>458.55</v>
      </c>
      <c r="F5" s="139">
        <f>E5*C8</f>
        <v>68.782499999999999</v>
      </c>
      <c r="G5" s="139">
        <f>E5+F5</f>
        <v>527.33249999999998</v>
      </c>
      <c r="I5" s="118" t="s">
        <v>116</v>
      </c>
      <c r="J5" s="142">
        <v>0.05</v>
      </c>
      <c r="K5" s="118"/>
      <c r="L5" s="139">
        <f>L3*J5</f>
        <v>92.184000000000012</v>
      </c>
      <c r="M5" s="139">
        <f>L5*J8</f>
        <v>13.827600000000002</v>
      </c>
      <c r="N5" s="139">
        <f>L5+M5</f>
        <v>106.01160000000002</v>
      </c>
    </row>
    <row r="6" spans="2:14">
      <c r="B6" s="118" t="s">
        <v>117</v>
      </c>
      <c r="C6" s="141">
        <v>0.08</v>
      </c>
      <c r="D6" s="118"/>
      <c r="E6" s="139">
        <f>E3*C6</f>
        <v>733.68000000000006</v>
      </c>
      <c r="F6" s="139">
        <f>E6*C8</f>
        <v>110.05200000000001</v>
      </c>
      <c r="G6" s="139">
        <f>E6+F6</f>
        <v>843.73200000000008</v>
      </c>
      <c r="I6" s="118" t="s">
        <v>117</v>
      </c>
      <c r="J6" s="142">
        <v>7.4999999999999997E-2</v>
      </c>
      <c r="K6" s="118"/>
      <c r="L6" s="139">
        <f>L3*J6</f>
        <v>138.27600000000001</v>
      </c>
      <c r="M6" s="139">
        <f>L6*J8</f>
        <v>20.741400000000002</v>
      </c>
      <c r="N6" s="139">
        <f>L6+M6</f>
        <v>159.01740000000001</v>
      </c>
    </row>
    <row r="7" spans="2:14">
      <c r="B7" s="118" t="s">
        <v>118</v>
      </c>
      <c r="C7" s="138"/>
      <c r="D7" s="118"/>
      <c r="E7" s="139">
        <v>22.8</v>
      </c>
      <c r="F7" s="139">
        <f>E7*C8</f>
        <v>3.42</v>
      </c>
      <c r="G7" s="139">
        <f>E7+F7</f>
        <v>26.22</v>
      </c>
      <c r="I7" s="118"/>
      <c r="J7" s="140"/>
      <c r="K7" s="118"/>
      <c r="L7" s="139">
        <v>20</v>
      </c>
      <c r="M7" s="139">
        <f>L7*J8</f>
        <v>3</v>
      </c>
      <c r="N7" s="139">
        <f>L7+M7</f>
        <v>23</v>
      </c>
    </row>
    <row r="8" spans="2:14">
      <c r="B8" s="118" t="s">
        <v>115</v>
      </c>
      <c r="C8" s="141">
        <v>0.15</v>
      </c>
      <c r="D8" s="118"/>
      <c r="E8" s="118"/>
      <c r="F8" s="118" t="s">
        <v>119</v>
      </c>
      <c r="G8" s="143">
        <f>SUM(G5:G7)</f>
        <v>1397.2845</v>
      </c>
      <c r="I8" s="118" t="s">
        <v>115</v>
      </c>
      <c r="J8" s="142">
        <v>0.15</v>
      </c>
      <c r="K8" s="118"/>
      <c r="L8" s="118"/>
      <c r="M8" s="118" t="s">
        <v>119</v>
      </c>
      <c r="N8" s="143">
        <f>SUM(N5:N7)</f>
        <v>288.029</v>
      </c>
    </row>
    <row r="10" spans="2:14">
      <c r="B10" s="134" t="s">
        <v>120</v>
      </c>
      <c r="C10" s="135"/>
      <c r="D10" s="136"/>
      <c r="E10" s="136"/>
      <c r="F10" s="136"/>
      <c r="G10" s="136"/>
      <c r="I10" s="134" t="s">
        <v>121</v>
      </c>
      <c r="J10" s="137"/>
      <c r="K10" s="136"/>
      <c r="L10" s="136"/>
      <c r="M10" s="136"/>
      <c r="N10" s="136"/>
    </row>
    <row r="11" spans="2:14">
      <c r="B11" s="118"/>
      <c r="C11" s="138"/>
      <c r="D11" s="118" t="s">
        <v>112</v>
      </c>
      <c r="E11" s="139">
        <v>4343</v>
      </c>
      <c r="F11" s="118"/>
      <c r="G11" s="118"/>
      <c r="I11" s="118"/>
      <c r="J11" s="140"/>
      <c r="K11" s="118" t="s">
        <v>112</v>
      </c>
      <c r="L11" s="139">
        <v>450</v>
      </c>
      <c r="M11" s="118"/>
      <c r="N11" s="118"/>
    </row>
    <row r="12" spans="2:14">
      <c r="B12" s="118"/>
      <c r="C12" s="138" t="s">
        <v>113</v>
      </c>
      <c r="D12" s="118"/>
      <c r="E12" s="118" t="s">
        <v>114</v>
      </c>
      <c r="F12" s="118" t="s">
        <v>115</v>
      </c>
      <c r="G12" s="118" t="s">
        <v>45</v>
      </c>
      <c r="I12" s="118"/>
      <c r="J12" s="140" t="s">
        <v>113</v>
      </c>
      <c r="K12" s="118"/>
      <c r="L12" s="118" t="s">
        <v>114</v>
      </c>
      <c r="M12" s="118" t="s">
        <v>115</v>
      </c>
      <c r="N12" s="118" t="s">
        <v>45</v>
      </c>
    </row>
    <row r="13" spans="2:14">
      <c r="B13" s="118" t="s">
        <v>116</v>
      </c>
      <c r="C13" s="141">
        <v>0.05</v>
      </c>
      <c r="D13" s="118"/>
      <c r="E13" s="139">
        <f>E11*C13</f>
        <v>217.15</v>
      </c>
      <c r="F13" s="139">
        <f>E13*C16</f>
        <v>32.572499999999998</v>
      </c>
      <c r="G13" s="139">
        <f>E13+F13</f>
        <v>249.7225</v>
      </c>
      <c r="I13" s="118" t="s">
        <v>116</v>
      </c>
      <c r="J13" s="142">
        <v>0.05</v>
      </c>
      <c r="K13" s="118"/>
      <c r="L13" s="139">
        <f>L11*J13</f>
        <v>22.5</v>
      </c>
      <c r="M13" s="139">
        <f>L13*J16</f>
        <v>3.375</v>
      </c>
      <c r="N13" s="139">
        <f>L13+M13</f>
        <v>25.875</v>
      </c>
    </row>
    <row r="14" spans="2:14">
      <c r="B14" s="118" t="s">
        <v>117</v>
      </c>
      <c r="C14" s="141">
        <v>0.08</v>
      </c>
      <c r="D14" s="118"/>
      <c r="E14" s="139">
        <f>E11*C14</f>
        <v>347.44</v>
      </c>
      <c r="F14" s="139">
        <f>E14*C16</f>
        <v>52.116</v>
      </c>
      <c r="G14" s="139">
        <f>E14+F14</f>
        <v>399.55599999999998</v>
      </c>
      <c r="I14" s="118" t="s">
        <v>117</v>
      </c>
      <c r="J14" s="142">
        <v>7.4999999999999997E-2</v>
      </c>
      <c r="K14" s="118"/>
      <c r="L14" s="139">
        <f>L11*J14</f>
        <v>33.75</v>
      </c>
      <c r="M14" s="139">
        <f>L14*J16</f>
        <v>5.0625</v>
      </c>
      <c r="N14" s="139">
        <f>L14+M14</f>
        <v>38.8125</v>
      </c>
    </row>
    <row r="15" spans="2:14">
      <c r="B15" s="118" t="s">
        <v>118</v>
      </c>
      <c r="C15" s="138"/>
      <c r="D15" s="118"/>
      <c r="E15" s="139">
        <v>20</v>
      </c>
      <c r="F15" s="139">
        <f>E15*C16</f>
        <v>3</v>
      </c>
      <c r="G15" s="139">
        <f>E15+F15</f>
        <v>23</v>
      </c>
      <c r="I15" s="118"/>
      <c r="J15" s="140"/>
      <c r="K15" s="118"/>
      <c r="L15" s="139">
        <v>12</v>
      </c>
      <c r="M15" s="139">
        <f>L15*J16</f>
        <v>1.7999999999999998</v>
      </c>
      <c r="N15" s="139">
        <f>L15+M15</f>
        <v>13.8</v>
      </c>
    </row>
    <row r="16" spans="2:14">
      <c r="B16" s="118" t="s">
        <v>115</v>
      </c>
      <c r="C16" s="141">
        <v>0.15</v>
      </c>
      <c r="D16" s="118"/>
      <c r="E16" s="118"/>
      <c r="F16" s="118" t="s">
        <v>119</v>
      </c>
      <c r="G16" s="143">
        <f>SUM(G13:G15)</f>
        <v>672.27850000000001</v>
      </c>
      <c r="I16" s="118" t="s">
        <v>115</v>
      </c>
      <c r="J16" s="142">
        <v>0.15</v>
      </c>
      <c r="K16" s="118"/>
      <c r="L16" s="118"/>
      <c r="M16" s="118" t="s">
        <v>119</v>
      </c>
      <c r="N16" s="143">
        <f>SUM(N13:N15)</f>
        <v>78.487499999999997</v>
      </c>
    </row>
    <row r="18" spans="5:5">
      <c r="E18">
        <f>(1080*5%)</f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8035-24E8-4C62-BB30-6DA4234C3704}">
  <sheetPr>
    <pageSetUpPr fitToPage="1"/>
  </sheetPr>
  <dimension ref="B2:I11"/>
  <sheetViews>
    <sheetView view="pageBreakPreview" zoomScale="60" zoomScaleNormal="100" workbookViewId="0">
      <selection activeCell="E18" sqref="E18"/>
    </sheetView>
  </sheetViews>
  <sheetFormatPr defaultRowHeight="14.5"/>
  <cols>
    <col min="1" max="1" width="3.1796875" customWidth="1"/>
    <col min="2" max="2" width="7.453125" bestFit="1" customWidth="1"/>
    <col min="3" max="3" width="13.7265625" bestFit="1" customWidth="1"/>
    <col min="4" max="4" width="10.54296875" customWidth="1"/>
    <col min="5" max="5" width="72.1796875" customWidth="1"/>
    <col min="6" max="6" width="18.26953125" bestFit="1" customWidth="1"/>
    <col min="7" max="7" width="16.54296875" bestFit="1" customWidth="1"/>
    <col min="8" max="9" width="16.26953125" bestFit="1" customWidth="1"/>
  </cols>
  <sheetData>
    <row r="2" spans="2:9">
      <c r="B2" s="127" t="s">
        <v>106</v>
      </c>
      <c r="C2" s="127" t="s">
        <v>61</v>
      </c>
      <c r="D2" s="127" t="s">
        <v>77</v>
      </c>
      <c r="E2" s="127" t="s">
        <v>74</v>
      </c>
      <c r="F2" s="170" t="s">
        <v>75</v>
      </c>
      <c r="G2" s="171"/>
      <c r="H2" s="171"/>
      <c r="I2" s="172"/>
    </row>
    <row r="3" spans="2:9">
      <c r="B3" s="122"/>
      <c r="C3" s="122" t="s">
        <v>9</v>
      </c>
      <c r="D3" s="122"/>
      <c r="E3" s="122" t="s">
        <v>73</v>
      </c>
      <c r="F3" s="122"/>
      <c r="G3" s="122"/>
      <c r="H3" s="122"/>
      <c r="I3" s="122"/>
    </row>
    <row r="4" spans="2:9">
      <c r="B4" s="122"/>
      <c r="C4" s="122" t="s">
        <v>72</v>
      </c>
      <c r="D4" s="122" t="s">
        <v>78</v>
      </c>
      <c r="E4" s="122" t="s">
        <v>76</v>
      </c>
      <c r="F4" s="126" t="s">
        <v>105</v>
      </c>
      <c r="G4" s="122"/>
      <c r="H4" s="122"/>
      <c r="I4" s="122"/>
    </row>
    <row r="5" spans="2:9">
      <c r="B5" s="122"/>
      <c r="C5" s="122" t="s">
        <v>33</v>
      </c>
      <c r="D5" s="122"/>
      <c r="E5" s="122" t="s">
        <v>85</v>
      </c>
      <c r="F5" s="125" t="s">
        <v>100</v>
      </c>
      <c r="G5" s="124" t="s">
        <v>101</v>
      </c>
      <c r="H5" s="122"/>
      <c r="I5" s="122"/>
    </row>
    <row r="6" spans="2:9">
      <c r="B6" s="122"/>
      <c r="C6" s="122" t="s">
        <v>79</v>
      </c>
      <c r="D6" s="122"/>
      <c r="E6" s="122" t="s">
        <v>82</v>
      </c>
      <c r="F6" s="124" t="s">
        <v>83</v>
      </c>
      <c r="G6" s="124" t="s">
        <v>84</v>
      </c>
      <c r="H6" s="122"/>
      <c r="I6" s="122"/>
    </row>
    <row r="7" spans="2:9">
      <c r="B7" s="122"/>
      <c r="C7" s="122" t="s">
        <v>8</v>
      </c>
      <c r="D7" s="122"/>
      <c r="E7" s="123" t="s">
        <v>88</v>
      </c>
      <c r="F7" s="124" t="s">
        <v>86</v>
      </c>
      <c r="G7" s="124" t="s">
        <v>87</v>
      </c>
      <c r="H7" s="122"/>
      <c r="I7" s="122"/>
    </row>
    <row r="8" spans="2:9">
      <c r="B8" s="122"/>
      <c r="C8" s="122" t="s">
        <v>37</v>
      </c>
      <c r="D8" s="122"/>
      <c r="E8" s="123" t="s">
        <v>89</v>
      </c>
      <c r="F8" s="124" t="s">
        <v>90</v>
      </c>
      <c r="G8" s="124" t="s">
        <v>93</v>
      </c>
      <c r="H8" s="124" t="s">
        <v>91</v>
      </c>
      <c r="I8" s="124" t="s">
        <v>92</v>
      </c>
    </row>
    <row r="9" spans="2:9">
      <c r="B9" s="122"/>
      <c r="C9" s="122" t="s">
        <v>80</v>
      </c>
      <c r="D9" s="122"/>
      <c r="E9" s="123" t="s">
        <v>96</v>
      </c>
      <c r="F9" s="124" t="s">
        <v>94</v>
      </c>
      <c r="G9" s="124" t="s">
        <v>95</v>
      </c>
      <c r="H9" s="122"/>
      <c r="I9" s="122"/>
    </row>
    <row r="10" spans="2:9">
      <c r="B10" s="122"/>
      <c r="C10" s="122" t="s">
        <v>81</v>
      </c>
      <c r="D10" s="122"/>
      <c r="E10" s="123" t="s">
        <v>97</v>
      </c>
      <c r="F10" s="124" t="s">
        <v>102</v>
      </c>
      <c r="G10" s="124" t="s">
        <v>103</v>
      </c>
      <c r="H10" s="124" t="s">
        <v>104</v>
      </c>
      <c r="I10" s="122"/>
    </row>
    <row r="11" spans="2:9">
      <c r="B11" s="122"/>
      <c r="C11" s="122" t="s">
        <v>98</v>
      </c>
      <c r="D11" s="122"/>
      <c r="E11" s="123" t="s">
        <v>99</v>
      </c>
      <c r="F11" s="122"/>
      <c r="G11" s="122"/>
      <c r="H11" s="122"/>
      <c r="I11" s="122"/>
    </row>
  </sheetData>
  <mergeCells count="1">
    <mergeCell ref="F2:I2"/>
  </mergeCells>
  <hyperlinks>
    <hyperlink ref="E7" r:id="rId1" display="mailto:admin@dapper.co.za" xr:uid="{4E86F7B3-253F-41E1-831C-BACB154FFDE2}"/>
    <hyperlink ref="E8" r:id="rId2" display="mailto:admin@egoly.co.za" xr:uid="{A8FDC549-117C-4C22-B457-BC624C081A3C}"/>
    <hyperlink ref="E9" r:id="rId3" display="excufruit@cybertrade.co.za /" xr:uid="{E3CA6680-127A-4F88-BC80-36C96350595C}"/>
    <hyperlink ref="E11" r:id="rId4" display="mailto:Roy@rsa.co.za" xr:uid="{7390FAE4-98E6-40AB-BD3B-56D9B27F9D64}"/>
  </hyperlinks>
  <pageMargins left="0.7" right="0.7" top="0.75" bottom="0.75" header="0.3" footer="0.3"/>
  <pageSetup paperSize="9" scale="75" fitToHeight="0" orientation="landscape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F66C-C88C-4429-859E-6A74E1108FA8}">
  <dimension ref="B1:M11"/>
  <sheetViews>
    <sheetView zoomScale="115" zoomScaleNormal="115" workbookViewId="0">
      <selection activeCell="C13" sqref="C13"/>
    </sheetView>
  </sheetViews>
  <sheetFormatPr defaultRowHeight="14.5"/>
  <cols>
    <col min="1" max="1" width="2.1796875" customWidth="1"/>
    <col min="2" max="2" width="13.54296875" style="65" customWidth="1"/>
    <col min="3" max="3" width="21.81640625" style="8" customWidth="1"/>
    <col min="4" max="4" width="23.1796875" style="10" customWidth="1"/>
    <col min="5" max="5" width="16" customWidth="1"/>
  </cols>
  <sheetData>
    <row r="1" spans="2:13" s="113" customFormat="1" ht="22.5">
      <c r="B1" s="114" t="s">
        <v>46</v>
      </c>
      <c r="C1" s="115"/>
      <c r="D1" s="116"/>
      <c r="E1" s="117"/>
      <c r="F1" s="117"/>
      <c r="G1" s="117"/>
      <c r="H1" s="117"/>
      <c r="I1" s="117"/>
      <c r="J1" s="117"/>
      <c r="K1" s="116"/>
      <c r="L1" s="116"/>
      <c r="M1" s="116"/>
    </row>
    <row r="2" spans="2:13" s="113" customFormat="1" ht="22.5">
      <c r="B2" s="114" t="s">
        <v>60</v>
      </c>
      <c r="C2" s="115"/>
      <c r="D2" s="116"/>
      <c r="E2" s="117"/>
      <c r="F2" s="117"/>
      <c r="G2" s="117"/>
      <c r="H2" s="117"/>
      <c r="I2" s="117"/>
      <c r="J2" s="117"/>
      <c r="K2" s="116"/>
      <c r="L2" s="116"/>
      <c r="M2" s="116"/>
    </row>
    <row r="4" spans="2:13" s="109" customFormat="1" ht="15.5">
      <c r="B4" s="112" t="s">
        <v>6</v>
      </c>
      <c r="C4" s="110" t="s">
        <v>61</v>
      </c>
      <c r="D4" s="111" t="s">
        <v>62</v>
      </c>
      <c r="E4" s="110" t="s">
        <v>63</v>
      </c>
    </row>
    <row r="5" spans="2:13">
      <c r="B5" s="65">
        <v>44179</v>
      </c>
      <c r="C5" s="8" t="s">
        <v>64</v>
      </c>
      <c r="D5" s="10">
        <v>5200.71</v>
      </c>
    </row>
    <row r="6" spans="2:13">
      <c r="B6" s="65">
        <v>44186</v>
      </c>
      <c r="C6" s="8" t="s">
        <v>64</v>
      </c>
      <c r="D6" s="10">
        <v>139.29</v>
      </c>
    </row>
    <row r="7" spans="2:13">
      <c r="B7" s="65">
        <v>44193</v>
      </c>
      <c r="C7" s="8" t="s">
        <v>64</v>
      </c>
      <c r="D7" s="10">
        <v>7266.47</v>
      </c>
    </row>
    <row r="8" spans="2:13">
      <c r="B8" s="65">
        <v>44196</v>
      </c>
      <c r="C8" s="8" t="s">
        <v>64</v>
      </c>
      <c r="D8" s="10">
        <v>9894.34</v>
      </c>
    </row>
    <row r="9" spans="2:13">
      <c r="B9" s="65">
        <v>44202</v>
      </c>
      <c r="C9" s="8" t="s">
        <v>8</v>
      </c>
      <c r="D9" s="10">
        <v>28374.27</v>
      </c>
    </row>
    <row r="10" spans="2:13">
      <c r="B10" s="65">
        <v>44202</v>
      </c>
      <c r="C10" s="8" t="s">
        <v>64</v>
      </c>
      <c r="D10" s="10">
        <v>4961.6099999999997</v>
      </c>
    </row>
    <row r="11" spans="2:13">
      <c r="B11" s="8"/>
      <c r="D11" s="10">
        <f>SUBTOTAL(109,Table2[Payment])</f>
        <v>55836.69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AC1F-3605-4E1F-81B8-9259066856CC}">
  <sheetPr>
    <pageSetUpPr fitToPage="1"/>
  </sheetPr>
  <dimension ref="B1:O21"/>
  <sheetViews>
    <sheetView showGridLines="0" view="pageBreakPreview" zoomScaleNormal="130" zoomScaleSheetLayoutView="100" workbookViewId="0">
      <selection activeCell="S14" sqref="S14"/>
    </sheetView>
  </sheetViews>
  <sheetFormatPr defaultRowHeight="14.5"/>
  <cols>
    <col min="1" max="1" width="1.54296875" customWidth="1"/>
    <col min="2" max="2" width="19.453125" customWidth="1"/>
    <col min="3" max="3" width="15" customWidth="1"/>
    <col min="4" max="9" width="17.453125" customWidth="1"/>
    <col min="12" max="12" width="9.1796875"/>
    <col min="13" max="13" width="5.81640625" customWidth="1"/>
    <col min="16" max="16" width="12" bestFit="1" customWidth="1"/>
    <col min="17" max="17" width="13.453125" bestFit="1" customWidth="1"/>
  </cols>
  <sheetData>
    <row r="1" spans="2:15" ht="11.25" customHeight="1">
      <c r="B1" s="77"/>
      <c r="C1" s="45"/>
      <c r="D1" s="2"/>
      <c r="E1" s="2"/>
      <c r="F1" s="2"/>
      <c r="G1" s="2"/>
      <c r="H1" s="2"/>
      <c r="I1" s="2"/>
      <c r="J1" s="9"/>
      <c r="K1" s="9"/>
      <c r="L1" s="9"/>
      <c r="M1" s="9"/>
      <c r="N1" s="9"/>
      <c r="O1" s="9"/>
    </row>
    <row r="2" spans="2:15" s="1" customFormat="1" ht="31" customHeight="1">
      <c r="B2" s="4" t="s">
        <v>46</v>
      </c>
      <c r="C2" s="12"/>
      <c r="D2" s="3"/>
      <c r="E2" s="79"/>
      <c r="F2" s="3"/>
      <c r="G2" s="3"/>
      <c r="H2" s="3"/>
      <c r="I2" s="3"/>
      <c r="J2" s="13"/>
      <c r="K2" s="13"/>
      <c r="L2" s="13"/>
      <c r="M2" s="13"/>
      <c r="N2" s="13"/>
      <c r="O2" s="13"/>
    </row>
    <row r="3" spans="2:15" s="1" customFormat="1" ht="31" customHeight="1">
      <c r="B3" s="4" t="s">
        <v>7</v>
      </c>
      <c r="C3" s="56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</row>
    <row r="4" spans="2:15" ht="21" customHeight="1">
      <c r="C4" s="6"/>
      <c r="J4" s="10"/>
      <c r="K4" s="10"/>
      <c r="L4" s="10"/>
    </row>
    <row r="5" spans="2:15" ht="15.5">
      <c r="B5" s="78" t="s">
        <v>27</v>
      </c>
      <c r="C5" s="6"/>
      <c r="J5" s="10"/>
      <c r="K5" s="10"/>
      <c r="L5" s="10"/>
    </row>
    <row r="6" spans="2:15">
      <c r="J6" s="10"/>
      <c r="K6" s="10"/>
      <c r="L6" s="10"/>
    </row>
    <row r="7" spans="2:15">
      <c r="B7" t="s">
        <v>13</v>
      </c>
      <c r="C7" s="46">
        <v>44165</v>
      </c>
      <c r="J7" s="10"/>
      <c r="K7" s="10"/>
      <c r="L7" s="10"/>
    </row>
    <row r="8" spans="2:15">
      <c r="C8" s="46"/>
      <c r="J8" s="10"/>
      <c r="K8" s="10"/>
      <c r="L8" s="10"/>
    </row>
    <row r="9" spans="2:15" ht="42" customHeight="1">
      <c r="B9" s="14" t="s">
        <v>11</v>
      </c>
      <c r="C9" s="74" t="s">
        <v>26</v>
      </c>
      <c r="D9" s="16" t="s">
        <v>47</v>
      </c>
    </row>
    <row r="10" spans="2:15" s="7" customFormat="1" ht="21" customHeight="1">
      <c r="B10" s="22">
        <f>DATE(YEAR(Starting_Month),MONTH(Starting_Month)+0,1)</f>
        <v>44136</v>
      </c>
      <c r="C10" s="75">
        <f>SUMIFS(Data[Qty Sold],Data[Date],"&gt;="&amp;'Sales Graph'!B10,Data[Date],"&lt;="&amp;DATE(YEAR('Sales Graph'!B10),MONTH('Sales Graph'!B10)+1,0))</f>
        <v>769</v>
      </c>
      <c r="D10" s="73">
        <f>SUMIFS(Data[Gross Profit],Data[Date],"&gt;="&amp;'Sales Graph'!B10,Data[Date],"&lt;="&amp;DATE(YEAR('Sales Graph'!B10),MONTH('Sales Graph'!B10)+1,0))</f>
        <v>29776.782500000001</v>
      </c>
    </row>
    <row r="11" spans="2:15" s="7" customFormat="1" ht="21" customHeight="1">
      <c r="B11" s="22">
        <f>DATE(YEAR(Starting_Month),MONTH(Starting_Month)+1,1)</f>
        <v>44166</v>
      </c>
      <c r="C11" s="75">
        <f>SUMIFS(Data[Qty Sold],Data[Date],"&gt;="&amp;'Sales Graph'!B11,Data[Date],"&lt;="&amp;DATE(YEAR('Sales Graph'!B11),MONTH('Sales Graph'!B11)+1,0))</f>
        <v>8717</v>
      </c>
      <c r="D11" s="73">
        <f>SUMIFS(Data[Gross Profit],Data[Date],"&gt;="&amp;'Sales Graph'!B11,Data[Date],"&lt;="&amp;DATE(YEAR('Sales Graph'!B11),MONTH('Sales Graph'!B11)+1,0))</f>
        <v>243570.34400000004</v>
      </c>
    </row>
    <row r="12" spans="2:15" s="7" customFormat="1" ht="21" customHeight="1">
      <c r="B12" s="22">
        <f>DATE(YEAR(Starting_Month),MONTH(Starting_Month)+2,1)</f>
        <v>44197</v>
      </c>
      <c r="C12" s="75">
        <f>SUMIFS(Data[Qty Sold],Data[Date],"&gt;="&amp;'Sales Graph'!B12,Data[Date],"&lt;="&amp;DATE(YEAR('Sales Graph'!B12),MONTH('Sales Graph'!B12)+1,0))</f>
        <v>7514</v>
      </c>
      <c r="D12" s="73">
        <f>SUMIFS(Data[Gross Profit],Data[Date],"&gt;="&amp;'Sales Graph'!B12,Data[Date],"&lt;="&amp;DATE(YEAR('Sales Graph'!B12),MONTH('Sales Graph'!B12)+1,0))</f>
        <v>143637.71100000004</v>
      </c>
    </row>
    <row r="13" spans="2:15" s="7" customFormat="1" ht="21" customHeight="1">
      <c r="B13" s="22">
        <f>DATE(YEAR(Starting_Month),MONTH(Starting_Month)+3,1)</f>
        <v>44228</v>
      </c>
      <c r="C13" s="75">
        <f>SUMIFS(Data[Qty Sold],Data[Date],"&gt;="&amp;'Sales Graph'!B13,Data[Date],"&lt;="&amp;DATE(YEAR('Sales Graph'!B13),MONTH('Sales Graph'!B13)+1,0))</f>
        <v>176</v>
      </c>
      <c r="D13" s="73">
        <f>SUMIFS(Data[Gross Profit],Data[Date],"&gt;="&amp;'Sales Graph'!B13,Data[Date],"&lt;="&amp;DATE(YEAR('Sales Graph'!B13),MONTH('Sales Graph'!B13)+1,0))</f>
        <v>7738.4074999999984</v>
      </c>
    </row>
    <row r="14" spans="2:15" s="7" customFormat="1" ht="21" customHeight="1">
      <c r="B14" s="22">
        <f>DATE(YEAR(Starting_Month),MONTH(Starting_Month)+4,1)</f>
        <v>44256</v>
      </c>
      <c r="C14" s="75">
        <f>SUMIFS(Data[Qty Sold],Data[Date],"&gt;="&amp;'Sales Graph'!B14,Data[Date],"&lt;="&amp;DATE(YEAR('Sales Graph'!B14),MONTH('Sales Graph'!B14)+1,0))</f>
        <v>207</v>
      </c>
      <c r="D14" s="73">
        <f>SUMIFS(Data[Gross Profit],Data[Date],"&gt;="&amp;'Sales Graph'!B14,Data[Date],"&lt;="&amp;DATE(YEAR('Sales Graph'!B14),MONTH('Sales Graph'!B14)+1,0))</f>
        <v>8185.8799999999992</v>
      </c>
    </row>
    <row r="15" spans="2:15" s="7" customFormat="1" ht="21" customHeight="1">
      <c r="B15" s="22">
        <f>DATE(YEAR(Starting_Month),MONTH(Starting_Month)+5,1)</f>
        <v>44287</v>
      </c>
      <c r="C15" s="75">
        <f>SUMIFS(Data[Qty Sold],Data[Date],"&gt;="&amp;'Sales Graph'!B15,Data[Date],"&lt;="&amp;DATE(YEAR('Sales Graph'!B15),MONTH('Sales Graph'!B15)+1,0))</f>
        <v>176</v>
      </c>
      <c r="D15" s="73">
        <f>SUMIFS(Data[Gross Profit],Data[Date],"&gt;="&amp;'Sales Graph'!B15,Data[Date],"&lt;="&amp;DATE(YEAR('Sales Graph'!B15),MONTH('Sales Graph'!B15)+1,0))</f>
        <v>4295.8024999999998</v>
      </c>
    </row>
    <row r="16" spans="2:15" s="7" customFormat="1" ht="21" customHeight="1">
      <c r="B16" s="22">
        <f>DATE(YEAR(Starting_Month),MONTH(Starting_Month)+6,1)</f>
        <v>44317</v>
      </c>
      <c r="C16" s="75">
        <f>SUMIFS(Data[Qty Sold],Data[Date],"&gt;="&amp;'Sales Graph'!B16,Data[Date],"&lt;="&amp;DATE(YEAR('Sales Graph'!B16),MONTH('Sales Graph'!B16)+1,0))</f>
        <v>593</v>
      </c>
      <c r="D16" s="73">
        <f>SUMIFS(Data[Gross Profit],Data[Date],"&gt;="&amp;'Sales Graph'!B16,Data[Date],"&lt;="&amp;DATE(YEAR('Sales Graph'!B16),MONTH('Sales Graph'!B16)+1,0))</f>
        <v>29615.599999999999</v>
      </c>
    </row>
    <row r="17" spans="2:4" s="7" customFormat="1" ht="21" customHeight="1">
      <c r="B17" s="22">
        <f>DATE(YEAR(Starting_Month),MONTH(Starting_Month)+7,1)</f>
        <v>44348</v>
      </c>
      <c r="C17" s="75">
        <f>SUMIFS(Data[Qty Sold],Data[Date],"&gt;="&amp;'Sales Graph'!B17,Data[Date],"&lt;="&amp;DATE(YEAR('Sales Graph'!B17),MONTH('Sales Graph'!B17)+1,0))</f>
        <v>168</v>
      </c>
      <c r="D17" s="73">
        <f>SUMIFS(Data[Gross Profit],Data[Date],"&gt;="&amp;'Sales Graph'!B17,Data[Date],"&lt;="&amp;DATE(YEAR('Sales Graph'!B17),MONTH('Sales Graph'!B17)+1,0))</f>
        <v>7936.72</v>
      </c>
    </row>
    <row r="18" spans="2:4" s="7" customFormat="1" ht="21" customHeight="1">
      <c r="B18" s="22">
        <f>DATE(YEAR(Starting_Month),MONTH(Starting_Month)+8,1)</f>
        <v>44378</v>
      </c>
      <c r="C18" s="75">
        <f>SUMIFS(Data[Qty Sold],Data[Date],"&gt;="&amp;'Sales Graph'!B18,Data[Date],"&lt;="&amp;DATE(YEAR('Sales Graph'!B18),MONTH('Sales Graph'!B18)+1,0))</f>
        <v>0</v>
      </c>
      <c r="D18" s="73">
        <f>SUMIFS(Data[Gross Profit],Data[Date],"&gt;="&amp;'Sales Graph'!B18,Data[Date],"&lt;="&amp;DATE(YEAR('Sales Graph'!B18),MONTH('Sales Graph'!B18)+1,0))</f>
        <v>0</v>
      </c>
    </row>
    <row r="19" spans="2:4" s="7" customFormat="1" ht="21" customHeight="1">
      <c r="B19" s="22">
        <f>DATE(YEAR(Starting_Month),MONTH(Starting_Month)+9,1)</f>
        <v>44409</v>
      </c>
      <c r="C19" s="75">
        <f>SUMIFS(Data[Qty Sold],Data[Date],"&gt;="&amp;'Sales Graph'!B19,Data[Date],"&lt;="&amp;DATE(YEAR('Sales Graph'!B19),MONTH('Sales Graph'!B19)+1,0))</f>
        <v>0</v>
      </c>
      <c r="D19" s="73">
        <f>SUMIFS(Data[Gross Profit],Data[Date],"&gt;="&amp;'Sales Graph'!B19,Data[Date],"&lt;="&amp;DATE(YEAR('Sales Graph'!B19),MONTH('Sales Graph'!B19)+1,0))</f>
        <v>0</v>
      </c>
    </row>
    <row r="20" spans="2:4" s="7" customFormat="1" ht="21" customHeight="1">
      <c r="B20" s="22">
        <f>DATE(YEAR(Starting_Month),MONTH(Starting_Month)+10,1)</f>
        <v>44440</v>
      </c>
      <c r="C20" s="75">
        <f>SUMIFS(Data[Qty Sold],Data[Date],"&gt;="&amp;'Sales Graph'!B20,Data[Date],"&lt;="&amp;DATE(YEAR('Sales Graph'!B20),MONTH('Sales Graph'!B20)+1,0))</f>
        <v>0</v>
      </c>
      <c r="D20" s="73">
        <f>SUMIFS(Data[Gross Profit],Data[Date],"&gt;="&amp;'Sales Graph'!B20,Data[Date],"&lt;="&amp;DATE(YEAR('Sales Graph'!B20),MONTH('Sales Graph'!B20)+1,0))</f>
        <v>0</v>
      </c>
    </row>
    <row r="21" spans="2:4" s="7" customFormat="1" ht="21" customHeight="1">
      <c r="B21" s="22">
        <f>DATE(YEAR(Starting_Month),MONTH(Starting_Month)+11,1)</f>
        <v>44470</v>
      </c>
      <c r="C21" s="75">
        <f>SUMIFS(Data[Qty Sold],Data[Date],"&gt;="&amp;'Sales Graph'!B21,Data[Date],"&lt;="&amp;DATE(YEAR('Sales Graph'!B21),MONTH('Sales Graph'!B21)+1,0))</f>
        <v>0</v>
      </c>
      <c r="D21" s="73">
        <f>SUMIFS(Data[Gross Profit],Data[Date],"&gt;="&amp;'Sales Graph'!B21,Data[Date],"&lt;="&amp;DATE(YEAR('Sales Graph'!B21),MONTH('Sales Graph'!B21)+1,0))</f>
        <v>0</v>
      </c>
    </row>
  </sheetData>
  <pageMargins left="0.7" right="0.7" top="0.75" bottom="0.75" header="0.3" footer="0.3"/>
  <pageSetup paperSize="9" scale="45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62BF44-FFE0-4638-93CF-6760922AD875}">
          <x14:formula1>
            <xm:f>List!$G$3:$G$14</xm:f>
          </x14:formula1>
          <xm:sqref>C7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4E1F-66E5-43A3-8B99-C781C5BDFB9E}">
  <dimension ref="B1:Q13"/>
  <sheetViews>
    <sheetView showGridLines="0" zoomScale="90" zoomScaleNormal="90" workbookViewId="0">
      <selection activeCell="E10" sqref="E10"/>
    </sheetView>
  </sheetViews>
  <sheetFormatPr defaultRowHeight="14.5"/>
  <cols>
    <col min="1" max="1" width="1.54296875" customWidth="1"/>
    <col min="2" max="2" width="19.453125" customWidth="1"/>
    <col min="3" max="3" width="15" customWidth="1"/>
    <col min="4" max="9" width="17.453125" customWidth="1"/>
    <col min="12" max="12" width="9.1796875"/>
    <col min="13" max="13" width="5.81640625" customWidth="1"/>
    <col min="16" max="16" width="12" bestFit="1" customWidth="1"/>
    <col min="17" max="17" width="13.453125" bestFit="1" customWidth="1"/>
  </cols>
  <sheetData>
    <row r="1" spans="2:17" ht="11.25" customHeight="1">
      <c r="B1" s="77"/>
      <c r="C1" s="45"/>
      <c r="D1" s="2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</row>
    <row r="2" spans="2:17" s="1" customFormat="1" ht="31" customHeight="1">
      <c r="B2" s="4" t="s">
        <v>46</v>
      </c>
      <c r="C2" s="12"/>
      <c r="D2" s="3"/>
      <c r="E2" s="79"/>
      <c r="F2" s="3"/>
      <c r="G2" s="3"/>
      <c r="H2" s="3"/>
      <c r="I2" s="3"/>
      <c r="J2" s="13"/>
      <c r="K2" s="13"/>
      <c r="L2" s="13"/>
      <c r="M2" s="13"/>
      <c r="N2" s="13"/>
      <c r="O2" s="13"/>
      <c r="P2" s="3"/>
      <c r="Q2" s="3"/>
    </row>
    <row r="3" spans="2:17" s="1" customFormat="1" ht="31" customHeight="1">
      <c r="B3" s="4" t="s">
        <v>56</v>
      </c>
      <c r="C3" s="56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3"/>
      <c r="Q3" s="3"/>
    </row>
    <row r="4" spans="2:17" ht="21" customHeight="1">
      <c r="B4" t="s">
        <v>59</v>
      </c>
      <c r="C4" s="6"/>
      <c r="J4" s="10"/>
      <c r="K4" s="10"/>
      <c r="L4" s="10"/>
    </row>
    <row r="5" spans="2:17" s="11" customFormat="1" ht="15.5">
      <c r="B5" s="106" t="s">
        <v>1</v>
      </c>
      <c r="C5" s="107" t="s">
        <v>2</v>
      </c>
      <c r="D5" s="108" t="s">
        <v>3</v>
      </c>
      <c r="E5" s="108" t="s">
        <v>20</v>
      </c>
      <c r="F5" s="108" t="s">
        <v>4</v>
      </c>
    </row>
    <row r="6" spans="2:17">
      <c r="B6" s="22" t="s">
        <v>10</v>
      </c>
      <c r="C6" s="76">
        <v>12365</v>
      </c>
      <c r="D6" s="76">
        <v>10887</v>
      </c>
      <c r="E6" s="76">
        <v>268</v>
      </c>
      <c r="F6" s="81">
        <v>433693.99</v>
      </c>
    </row>
    <row r="7" spans="2:17">
      <c r="B7" s="22" t="s">
        <v>34</v>
      </c>
      <c r="C7" s="76">
        <v>8976</v>
      </c>
      <c r="D7" s="76">
        <v>8250</v>
      </c>
      <c r="E7" s="76">
        <v>704</v>
      </c>
      <c r="F7" s="81">
        <v>471584.65</v>
      </c>
    </row>
    <row r="8" spans="2:17">
      <c r="B8" s="22" t="s">
        <v>29</v>
      </c>
      <c r="C8" s="76">
        <v>7330</v>
      </c>
      <c r="D8" s="76">
        <v>5611</v>
      </c>
      <c r="E8" s="76">
        <v>716</v>
      </c>
      <c r="F8" s="81">
        <v>186155</v>
      </c>
    </row>
    <row r="9" spans="2:17">
      <c r="B9" s="22" t="s">
        <v>30</v>
      </c>
      <c r="C9" s="76">
        <v>6098</v>
      </c>
      <c r="D9" s="76">
        <v>5189</v>
      </c>
      <c r="E9" s="76">
        <v>963</v>
      </c>
      <c r="F9" s="81">
        <v>136315</v>
      </c>
    </row>
    <row r="10" spans="2:17" s="70" customFormat="1">
      <c r="B10" s="102" t="s">
        <v>35</v>
      </c>
      <c r="C10" s="103">
        <v>2140</v>
      </c>
      <c r="D10" s="103">
        <v>1788</v>
      </c>
      <c r="E10" s="105">
        <v>352</v>
      </c>
      <c r="F10" s="104">
        <v>7194</v>
      </c>
    </row>
    <row r="11" spans="2:17">
      <c r="B11" s="22" t="s">
        <v>31</v>
      </c>
      <c r="C11" s="30">
        <v>3945</v>
      </c>
      <c r="D11" s="76">
        <v>960</v>
      </c>
      <c r="E11" s="76">
        <v>2983</v>
      </c>
      <c r="F11" s="81">
        <v>5372</v>
      </c>
    </row>
    <row r="12" spans="2:17" s="70" customFormat="1">
      <c r="B12" s="102" t="s">
        <v>44</v>
      </c>
      <c r="C12" s="103">
        <v>25</v>
      </c>
      <c r="D12" s="103">
        <v>25</v>
      </c>
      <c r="E12" s="103">
        <v>0</v>
      </c>
      <c r="F12" s="104">
        <v>895</v>
      </c>
    </row>
    <row r="13" spans="2:17">
      <c r="B13" s="86" t="s">
        <v>45</v>
      </c>
      <c r="C13" s="83">
        <f>SUM(C6:C12)</f>
        <v>40879</v>
      </c>
      <c r="D13" s="83">
        <f>SUM(D6:D12)</f>
        <v>32710</v>
      </c>
      <c r="E13" s="83">
        <f>SUM(E6:E12)</f>
        <v>5986</v>
      </c>
      <c r="F13" s="84">
        <f>SUM(F6:F12)</f>
        <v>1241209.6400000001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00EE-04A8-425B-8137-F1AE447A3E24}">
  <dimension ref="B1:P37"/>
  <sheetViews>
    <sheetView topLeftCell="A7" workbookViewId="0">
      <selection activeCell="A7" sqref="A1:XFD1048576"/>
    </sheetView>
  </sheetViews>
  <sheetFormatPr defaultRowHeight="14.5"/>
  <cols>
    <col min="1" max="1" width="1.54296875" customWidth="1"/>
    <col min="2" max="2" width="18.7265625" customWidth="1"/>
    <col min="3" max="3" width="14.26953125" bestFit="1" customWidth="1"/>
    <col min="4" max="4" width="12.1796875" customWidth="1"/>
    <col min="5" max="5" width="12.54296875" bestFit="1" customWidth="1"/>
    <col min="6" max="6" width="16.7265625" customWidth="1"/>
    <col min="7" max="7" width="5" customWidth="1"/>
    <col min="8" max="8" width="17.1796875" customWidth="1"/>
    <col min="9" max="9" width="14.453125" customWidth="1"/>
    <col min="10" max="10" width="13.453125" customWidth="1"/>
    <col min="11" max="11" width="13.1796875" customWidth="1"/>
    <col min="12" max="12" width="15" customWidth="1"/>
  </cols>
  <sheetData>
    <row r="1" spans="2:16" ht="11.25" customHeight="1">
      <c r="B1" s="77"/>
      <c r="C1" s="45"/>
      <c r="D1" s="2"/>
      <c r="E1" s="2"/>
      <c r="F1" s="2"/>
      <c r="G1" s="2"/>
      <c r="H1" s="2"/>
      <c r="I1" s="2"/>
      <c r="J1" s="9"/>
      <c r="K1" s="9"/>
      <c r="L1" s="9"/>
      <c r="M1" s="2"/>
      <c r="N1" s="2"/>
      <c r="O1" s="2"/>
      <c r="P1" s="2"/>
    </row>
    <row r="2" spans="2:16" s="1" customFormat="1" ht="23.5">
      <c r="B2" s="4" t="s">
        <v>55</v>
      </c>
      <c r="C2" s="12"/>
      <c r="D2" s="3"/>
      <c r="E2" s="79"/>
      <c r="F2" s="3"/>
      <c r="G2" s="3"/>
      <c r="H2" s="3"/>
      <c r="I2" s="3"/>
      <c r="J2" s="13"/>
      <c r="K2" s="13"/>
      <c r="L2" s="13"/>
      <c r="M2" s="3"/>
      <c r="N2" s="3"/>
      <c r="O2" s="3"/>
      <c r="P2" s="3"/>
    </row>
    <row r="3" spans="2:16" s="1" customFormat="1" ht="23.5">
      <c r="B3" s="4" t="s">
        <v>42</v>
      </c>
      <c r="C3" s="56"/>
      <c r="D3" s="57"/>
      <c r="E3" s="57"/>
      <c r="F3" s="57"/>
      <c r="G3" s="57"/>
      <c r="H3" s="57"/>
      <c r="I3" s="57"/>
      <c r="J3" s="58"/>
      <c r="K3" s="58"/>
      <c r="L3" s="58"/>
      <c r="M3" s="3"/>
      <c r="N3" s="3"/>
      <c r="O3" s="3"/>
      <c r="P3" s="3"/>
    </row>
    <row r="4" spans="2:16" s="100" customFormat="1" ht="15" customHeight="1">
      <c r="B4" s="96"/>
      <c r="C4" s="97"/>
      <c r="D4" s="98"/>
      <c r="E4" s="98"/>
      <c r="F4" s="98"/>
      <c r="G4" s="98"/>
      <c r="H4" s="98"/>
      <c r="I4" s="98"/>
      <c r="J4" s="99"/>
      <c r="K4" s="99"/>
      <c r="L4" s="99"/>
    </row>
    <row r="5" spans="2:16" s="100" customFormat="1" ht="15" customHeight="1">
      <c r="B5" s="101" t="s">
        <v>57</v>
      </c>
      <c r="C5" s="97"/>
      <c r="D5" s="98"/>
      <c r="E5" s="98"/>
      <c r="F5" s="98"/>
      <c r="G5" s="98"/>
      <c r="H5" s="98"/>
      <c r="I5" s="98"/>
      <c r="J5" s="99"/>
      <c r="K5" s="99"/>
      <c r="L5" s="99"/>
    </row>
    <row r="6" spans="2:16" s="100" customFormat="1" ht="15" customHeight="1">
      <c r="B6" s="101" t="s">
        <v>58</v>
      </c>
      <c r="C6" s="97"/>
      <c r="D6" s="98"/>
      <c r="E6" s="98"/>
      <c r="F6" s="98"/>
      <c r="G6" s="98"/>
      <c r="H6" s="98"/>
      <c r="I6" s="98"/>
      <c r="J6" s="99"/>
      <c r="K6" s="99"/>
      <c r="L6" s="99"/>
    </row>
    <row r="7" spans="2:16" ht="21" customHeight="1">
      <c r="C7" s="6"/>
      <c r="J7" s="10"/>
      <c r="K7" s="10"/>
      <c r="L7" s="10"/>
    </row>
    <row r="8" spans="2:16" ht="18.5">
      <c r="B8" s="173" t="s">
        <v>8</v>
      </c>
      <c r="C8" s="173"/>
      <c r="D8" s="173"/>
      <c r="E8" s="173"/>
      <c r="F8" s="173"/>
    </row>
    <row r="9" spans="2:16" ht="15" customHeight="1"/>
    <row r="10" spans="2:16" ht="22" customHeight="1">
      <c r="B10" s="87" t="s">
        <v>11</v>
      </c>
      <c r="C10" s="88" t="s">
        <v>2</v>
      </c>
      <c r="D10" s="89" t="s">
        <v>3</v>
      </c>
      <c r="E10" s="89" t="s">
        <v>20</v>
      </c>
      <c r="F10" s="89" t="s">
        <v>4</v>
      </c>
    </row>
    <row r="11" spans="2:16" ht="18" customHeight="1">
      <c r="B11" s="22" t="s">
        <v>34</v>
      </c>
      <c r="C11" s="76">
        <v>2917</v>
      </c>
      <c r="D11" s="76">
        <v>2034</v>
      </c>
      <c r="E11" s="76">
        <v>883</v>
      </c>
      <c r="F11" s="81">
        <v>109140</v>
      </c>
    </row>
    <row r="12" spans="2:16" ht="18" customHeight="1">
      <c r="B12" s="22" t="s">
        <v>49</v>
      </c>
      <c r="C12" s="76">
        <v>1219</v>
      </c>
      <c r="D12" s="76">
        <v>1000</v>
      </c>
      <c r="E12" s="76">
        <v>219</v>
      </c>
      <c r="F12" s="81">
        <v>33070</v>
      </c>
    </row>
    <row r="13" spans="2:16" ht="18" customHeight="1">
      <c r="B13" s="22" t="s">
        <v>50</v>
      </c>
      <c r="C13" s="76">
        <v>2231</v>
      </c>
      <c r="D13" s="76">
        <v>1746</v>
      </c>
      <c r="E13" s="76">
        <v>485</v>
      </c>
      <c r="F13" s="81">
        <v>73744</v>
      </c>
    </row>
    <row r="14" spans="2:16" ht="18" customHeight="1">
      <c r="B14" s="22" t="s">
        <v>19</v>
      </c>
      <c r="C14" s="76">
        <v>44</v>
      </c>
      <c r="D14" s="76">
        <v>35</v>
      </c>
      <c r="E14" s="76">
        <v>0</v>
      </c>
      <c r="F14" s="81">
        <v>890</v>
      </c>
    </row>
    <row r="15" spans="2:16" ht="18" customHeight="1">
      <c r="B15" s="86" t="s">
        <v>45</v>
      </c>
      <c r="C15" s="83">
        <f>SUM(C11:C14)</f>
        <v>6411</v>
      </c>
      <c r="D15" s="83">
        <f>SUM(D11:D14)</f>
        <v>4815</v>
      </c>
      <c r="E15" s="83">
        <f>SUM(E11:E14)</f>
        <v>1587</v>
      </c>
      <c r="F15" s="84">
        <f>SUM(F11:F14)</f>
        <v>216844</v>
      </c>
    </row>
    <row r="17" spans="2:6" ht="18.5">
      <c r="B17" s="173" t="s">
        <v>9</v>
      </c>
      <c r="C17" s="173"/>
      <c r="D17" s="173"/>
      <c r="E17" s="173"/>
      <c r="F17" s="173"/>
    </row>
    <row r="18" spans="2:6" ht="17.25" customHeight="1"/>
    <row r="19" spans="2:6" s="82" customFormat="1" ht="22" customHeight="1">
      <c r="B19" s="87" t="s">
        <v>11</v>
      </c>
      <c r="C19" s="91" t="s">
        <v>2</v>
      </c>
      <c r="D19" s="91" t="s">
        <v>3</v>
      </c>
      <c r="E19" s="91" t="s">
        <v>20</v>
      </c>
      <c r="F19" s="90" t="s">
        <v>4</v>
      </c>
    </row>
    <row r="20" spans="2:6" ht="18" customHeight="1">
      <c r="B20" s="22" t="s">
        <v>34</v>
      </c>
      <c r="C20" s="76">
        <v>420</v>
      </c>
      <c r="D20" s="76">
        <v>279</v>
      </c>
      <c r="E20" s="76">
        <f>'Inpute Data'!F28+'Inpute Data'!F32</f>
        <v>170</v>
      </c>
      <c r="F20" s="81">
        <v>7220</v>
      </c>
    </row>
    <row r="21" spans="2:6" ht="18" customHeight="1">
      <c r="B21" s="22" t="s">
        <v>49</v>
      </c>
      <c r="C21" s="76">
        <v>315</v>
      </c>
      <c r="D21" s="76">
        <v>315</v>
      </c>
      <c r="E21" s="76">
        <v>0</v>
      </c>
      <c r="F21" s="81">
        <v>21060</v>
      </c>
    </row>
    <row r="22" spans="2:6" ht="18" customHeight="1">
      <c r="B22" s="22" t="s">
        <v>50</v>
      </c>
      <c r="C22" s="30">
        <v>431</v>
      </c>
      <c r="D22" s="30">
        <v>431</v>
      </c>
      <c r="E22" s="30">
        <v>0</v>
      </c>
      <c r="F22" s="94">
        <v>0</v>
      </c>
    </row>
    <row r="23" spans="2:6" ht="18" customHeight="1">
      <c r="B23" s="22" t="s">
        <v>19</v>
      </c>
      <c r="C23" s="30">
        <v>147</v>
      </c>
      <c r="D23" s="30">
        <v>80</v>
      </c>
      <c r="E23" s="30">
        <v>0</v>
      </c>
      <c r="F23" s="94">
        <v>995</v>
      </c>
    </row>
    <row r="24" spans="2:6" ht="18" customHeight="1">
      <c r="B24" s="86" t="s">
        <v>45</v>
      </c>
      <c r="C24" s="83">
        <f>SUM(C20:C23)</f>
        <v>1313</v>
      </c>
      <c r="D24" s="83">
        <f>SUM(D20:D23)</f>
        <v>1105</v>
      </c>
      <c r="E24" s="83">
        <f>SUM(E20:E23)</f>
        <v>170</v>
      </c>
      <c r="F24" s="85">
        <f>SUM(F20:F23)</f>
        <v>29275</v>
      </c>
    </row>
    <row r="26" spans="2:6" ht="18.5">
      <c r="B26" s="173" t="s">
        <v>48</v>
      </c>
      <c r="C26" s="173"/>
      <c r="D26" s="173"/>
      <c r="E26" s="173"/>
      <c r="F26" s="173"/>
    </row>
    <row r="28" spans="2:6">
      <c r="B28" s="87" t="s">
        <v>11</v>
      </c>
      <c r="C28" s="88" t="s">
        <v>2</v>
      </c>
      <c r="D28" s="89" t="s">
        <v>3</v>
      </c>
      <c r="E28" s="89" t="s">
        <v>20</v>
      </c>
      <c r="F28" s="89" t="s">
        <v>4</v>
      </c>
    </row>
    <row r="29" spans="2:6">
      <c r="B29" s="22" t="s">
        <v>34</v>
      </c>
      <c r="C29" s="76" t="e">
        <v>#VALUE!</v>
      </c>
      <c r="D29" s="76">
        <v>1368</v>
      </c>
      <c r="E29" s="76">
        <v>0</v>
      </c>
      <c r="F29" s="81">
        <v>74590</v>
      </c>
    </row>
    <row r="30" spans="2:6">
      <c r="B30" s="22" t="s">
        <v>49</v>
      </c>
      <c r="C30" s="76">
        <v>840</v>
      </c>
      <c r="D30" s="76">
        <v>494</v>
      </c>
      <c r="E30" s="76">
        <v>0</v>
      </c>
      <c r="F30" s="81">
        <v>62530</v>
      </c>
    </row>
    <row r="31" spans="2:6">
      <c r="B31" s="86" t="s">
        <v>45</v>
      </c>
      <c r="C31" s="83" t="e">
        <f>SUM(C29:C30)</f>
        <v>#VALUE!</v>
      </c>
      <c r="D31" s="83">
        <f>SUM(D29:D30)</f>
        <v>1862</v>
      </c>
      <c r="E31" s="83">
        <f>SUM(E29:E30)</f>
        <v>0</v>
      </c>
      <c r="F31" s="85">
        <f>SUM(F29:F30)</f>
        <v>137120</v>
      </c>
    </row>
    <row r="33" spans="2:6" ht="18.5">
      <c r="B33" s="173" t="s">
        <v>51</v>
      </c>
      <c r="C33" s="173"/>
      <c r="D33" s="173"/>
      <c r="E33" s="173"/>
      <c r="F33" s="173"/>
    </row>
    <row r="35" spans="2:6">
      <c r="B35" s="87" t="s">
        <v>11</v>
      </c>
      <c r="C35" s="92" t="s">
        <v>2</v>
      </c>
      <c r="D35" s="93" t="s">
        <v>3</v>
      </c>
      <c r="E35" s="91" t="s">
        <v>20</v>
      </c>
      <c r="F35" s="90" t="s">
        <v>4</v>
      </c>
    </row>
    <row r="36" spans="2:6">
      <c r="B36" s="22" t="s">
        <v>19</v>
      </c>
      <c r="C36" s="30">
        <v>385</v>
      </c>
      <c r="D36" s="30">
        <v>96</v>
      </c>
      <c r="E36" s="30">
        <v>83</v>
      </c>
      <c r="F36" s="94">
        <v>3937</v>
      </c>
    </row>
    <row r="37" spans="2:6">
      <c r="B37" s="86" t="s">
        <v>45</v>
      </c>
      <c r="C37" s="83">
        <f>SUM(C36)</f>
        <v>385</v>
      </c>
      <c r="D37" s="83">
        <f>SUM(D36)</f>
        <v>96</v>
      </c>
      <c r="E37" s="83">
        <f>SUM(E36)</f>
        <v>83</v>
      </c>
      <c r="F37" s="84">
        <f>SUM(F36)</f>
        <v>3937</v>
      </c>
    </row>
  </sheetData>
  <mergeCells count="4">
    <mergeCell ref="B8:F8"/>
    <mergeCell ref="B17:F17"/>
    <mergeCell ref="B26:F26"/>
    <mergeCell ref="B33:F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48D0-1354-4BAE-AA70-6F7A7C6E03E9}">
  <dimension ref="B1:P37"/>
  <sheetViews>
    <sheetView workbookViewId="0">
      <selection activeCell="A7" sqref="A1:XFD1048576"/>
    </sheetView>
  </sheetViews>
  <sheetFormatPr defaultRowHeight="14.5"/>
  <cols>
    <col min="1" max="1" width="1.54296875" customWidth="1"/>
    <col min="2" max="2" width="18.7265625" customWidth="1"/>
    <col min="3" max="3" width="14.26953125" bestFit="1" customWidth="1"/>
    <col min="4" max="4" width="12.1796875" customWidth="1"/>
    <col min="5" max="5" width="12.54296875" bestFit="1" customWidth="1"/>
    <col min="6" max="6" width="16.7265625" customWidth="1"/>
    <col min="7" max="7" width="5" customWidth="1"/>
    <col min="8" max="8" width="17.1796875" customWidth="1"/>
    <col min="9" max="9" width="14.453125" customWidth="1"/>
    <col min="10" max="10" width="13.453125" customWidth="1"/>
    <col min="11" max="11" width="13.1796875" customWidth="1"/>
    <col min="12" max="12" width="15" customWidth="1"/>
  </cols>
  <sheetData>
    <row r="1" spans="2:16" ht="11.25" customHeight="1">
      <c r="B1" s="77"/>
      <c r="C1" s="45"/>
      <c r="D1" s="2"/>
      <c r="E1" s="2"/>
      <c r="F1" s="2"/>
      <c r="G1" s="2"/>
      <c r="H1" s="2"/>
      <c r="I1" s="2"/>
      <c r="J1" s="9"/>
      <c r="K1" s="9"/>
      <c r="L1" s="9"/>
      <c r="M1" s="2"/>
      <c r="N1" s="2"/>
      <c r="O1" s="2"/>
      <c r="P1" s="2"/>
    </row>
    <row r="2" spans="2:16" s="1" customFormat="1" ht="23.5">
      <c r="B2" s="4" t="s">
        <v>55</v>
      </c>
      <c r="C2" s="12"/>
      <c r="D2" s="3"/>
      <c r="E2" s="79"/>
      <c r="F2" s="3"/>
      <c r="G2" s="3"/>
      <c r="H2" s="3"/>
      <c r="I2" s="3"/>
      <c r="J2" s="13"/>
      <c r="K2" s="13"/>
      <c r="L2" s="13"/>
      <c r="M2" s="3"/>
      <c r="N2" s="3"/>
      <c r="O2" s="3"/>
      <c r="P2" s="3"/>
    </row>
    <row r="3" spans="2:16" s="1" customFormat="1" ht="23.5">
      <c r="B3" s="4" t="s">
        <v>42</v>
      </c>
      <c r="C3" s="56"/>
      <c r="D3" s="57"/>
      <c r="E3" s="57"/>
      <c r="F3" s="57"/>
      <c r="G3" s="57"/>
      <c r="H3" s="57"/>
      <c r="I3" s="57"/>
      <c r="J3" s="58"/>
      <c r="K3" s="58"/>
      <c r="L3" s="58"/>
      <c r="M3" s="3"/>
      <c r="N3" s="3"/>
      <c r="O3" s="3"/>
      <c r="P3" s="3"/>
    </row>
    <row r="4" spans="2:16" s="100" customFormat="1" ht="15" customHeight="1">
      <c r="B4" s="96"/>
      <c r="C4" s="97"/>
      <c r="D4" s="98"/>
      <c r="E4" s="98"/>
      <c r="F4" s="98"/>
      <c r="G4" s="98"/>
      <c r="H4" s="98"/>
      <c r="I4" s="98"/>
      <c r="J4" s="99"/>
      <c r="K4" s="99"/>
      <c r="L4" s="99"/>
    </row>
    <row r="5" spans="2:16" s="100" customFormat="1" ht="15" customHeight="1">
      <c r="B5" s="101" t="s">
        <v>57</v>
      </c>
      <c r="C5" s="97"/>
      <c r="D5" s="98"/>
      <c r="E5" s="98"/>
      <c r="F5" s="98"/>
      <c r="G5" s="98"/>
      <c r="H5" s="98"/>
      <c r="I5" s="98"/>
      <c r="J5" s="99"/>
      <c r="K5" s="99"/>
      <c r="L5" s="99"/>
    </row>
    <row r="6" spans="2:16" s="100" customFormat="1" ht="15" customHeight="1">
      <c r="B6" s="101" t="s">
        <v>58</v>
      </c>
      <c r="C6" s="97"/>
      <c r="D6" s="98"/>
      <c r="E6" s="98"/>
      <c r="F6" s="98"/>
      <c r="G6" s="98"/>
      <c r="H6" s="98"/>
      <c r="I6" s="98"/>
      <c r="J6" s="99"/>
      <c r="K6" s="99"/>
      <c r="L6" s="99"/>
    </row>
    <row r="7" spans="2:16" ht="21" customHeight="1">
      <c r="C7" s="6"/>
      <c r="J7" s="10"/>
      <c r="K7" s="10"/>
      <c r="L7" s="10"/>
    </row>
    <row r="8" spans="2:16" ht="18.5">
      <c r="B8" s="173" t="s">
        <v>8</v>
      </c>
      <c r="C8" s="173"/>
      <c r="D8" s="173"/>
      <c r="E8" s="173"/>
      <c r="F8" s="173"/>
    </row>
    <row r="9" spans="2:16" ht="15" customHeight="1"/>
    <row r="10" spans="2:16" ht="22" customHeight="1">
      <c r="B10" s="87" t="s">
        <v>11</v>
      </c>
      <c r="C10" s="88" t="s">
        <v>2</v>
      </c>
      <c r="D10" s="89" t="s">
        <v>3</v>
      </c>
      <c r="E10" s="89" t="s">
        <v>20</v>
      </c>
      <c r="F10" s="89" t="s">
        <v>4</v>
      </c>
    </row>
    <row r="11" spans="2:16" ht="18" customHeight="1">
      <c r="B11" s="22" t="s">
        <v>34</v>
      </c>
      <c r="C11" s="76">
        <v>2917</v>
      </c>
      <c r="D11" s="76">
        <v>2034</v>
      </c>
      <c r="E11" s="76">
        <v>883</v>
      </c>
      <c r="F11" s="81">
        <v>109140</v>
      </c>
    </row>
    <row r="12" spans="2:16" ht="18" customHeight="1">
      <c r="B12" s="22" t="s">
        <v>49</v>
      </c>
      <c r="C12" s="76">
        <v>1219</v>
      </c>
      <c r="D12" s="76">
        <v>1000</v>
      </c>
      <c r="E12" s="76">
        <v>219</v>
      </c>
      <c r="F12" s="81">
        <v>33070</v>
      </c>
    </row>
    <row r="13" spans="2:16" ht="18" customHeight="1">
      <c r="B13" s="22" t="s">
        <v>50</v>
      </c>
      <c r="C13" s="76">
        <v>2231</v>
      </c>
      <c r="D13" s="76">
        <v>1746</v>
      </c>
      <c r="E13" s="76">
        <v>485</v>
      </c>
      <c r="F13" s="81">
        <v>73744</v>
      </c>
    </row>
    <row r="14" spans="2:16" ht="18" customHeight="1">
      <c r="B14" s="22" t="s">
        <v>19</v>
      </c>
      <c r="C14" s="76">
        <v>44</v>
      </c>
      <c r="D14" s="76">
        <v>35</v>
      </c>
      <c r="E14" s="76">
        <v>0</v>
      </c>
      <c r="F14" s="81">
        <v>890</v>
      </c>
    </row>
    <row r="15" spans="2:16" ht="18" customHeight="1">
      <c r="B15" s="86" t="s">
        <v>45</v>
      </c>
      <c r="C15" s="83">
        <f>SUM(C11:C14)</f>
        <v>6411</v>
      </c>
      <c r="D15" s="83">
        <f>SUM(D11:D14)</f>
        <v>4815</v>
      </c>
      <c r="E15" s="83">
        <f>SUM(E11:E14)</f>
        <v>1587</v>
      </c>
      <c r="F15" s="84">
        <f>SUM(F11:F14)</f>
        <v>216844</v>
      </c>
    </row>
    <row r="17" spans="2:6" ht="18.5">
      <c r="B17" s="173" t="s">
        <v>9</v>
      </c>
      <c r="C17" s="173"/>
      <c r="D17" s="173"/>
      <c r="E17" s="173"/>
      <c r="F17" s="173"/>
    </row>
    <row r="18" spans="2:6" ht="17.25" customHeight="1"/>
    <row r="19" spans="2:6" s="82" customFormat="1" ht="22" customHeight="1">
      <c r="B19" s="87" t="s">
        <v>11</v>
      </c>
      <c r="C19" s="91" t="s">
        <v>2</v>
      </c>
      <c r="D19" s="91" t="s">
        <v>3</v>
      </c>
      <c r="E19" s="91" t="s">
        <v>20</v>
      </c>
      <c r="F19" s="90" t="s">
        <v>4</v>
      </c>
    </row>
    <row r="20" spans="2:6" ht="18" customHeight="1">
      <c r="B20" s="22" t="s">
        <v>34</v>
      </c>
      <c r="C20" s="76">
        <v>420</v>
      </c>
      <c r="D20" s="76">
        <v>279</v>
      </c>
      <c r="E20" s="76">
        <f>'Inpute Data'!F28+'Inpute Data'!F32</f>
        <v>170</v>
      </c>
      <c r="F20" s="81">
        <v>7220</v>
      </c>
    </row>
    <row r="21" spans="2:6" ht="18" customHeight="1">
      <c r="B21" s="22" t="s">
        <v>49</v>
      </c>
      <c r="C21" s="76">
        <v>315</v>
      </c>
      <c r="D21" s="76">
        <v>315</v>
      </c>
      <c r="E21" s="76">
        <v>0</v>
      </c>
      <c r="F21" s="81">
        <v>21060</v>
      </c>
    </row>
    <row r="22" spans="2:6" ht="18" customHeight="1">
      <c r="B22" s="22" t="s">
        <v>50</v>
      </c>
      <c r="C22" s="30">
        <v>431</v>
      </c>
      <c r="D22" s="30">
        <v>431</v>
      </c>
      <c r="E22" s="30">
        <v>0</v>
      </c>
      <c r="F22" s="94">
        <v>0</v>
      </c>
    </row>
    <row r="23" spans="2:6" ht="18" customHeight="1">
      <c r="B23" s="22" t="s">
        <v>19</v>
      </c>
      <c r="C23" s="30">
        <v>147</v>
      </c>
      <c r="D23" s="30">
        <v>80</v>
      </c>
      <c r="E23" s="30">
        <v>0</v>
      </c>
      <c r="F23" s="94">
        <v>995</v>
      </c>
    </row>
    <row r="24" spans="2:6" ht="18" customHeight="1">
      <c r="B24" s="86" t="s">
        <v>45</v>
      </c>
      <c r="C24" s="83">
        <f>SUM(C20:C23)</f>
        <v>1313</v>
      </c>
      <c r="D24" s="83">
        <f>SUM(D20:D23)</f>
        <v>1105</v>
      </c>
      <c r="E24" s="83">
        <f>SUM(E20:E23)</f>
        <v>170</v>
      </c>
      <c r="F24" s="85">
        <f>SUM(F20:F23)</f>
        <v>29275</v>
      </c>
    </row>
    <row r="26" spans="2:6" ht="18.5">
      <c r="B26" s="173" t="s">
        <v>48</v>
      </c>
      <c r="C26" s="173"/>
      <c r="D26" s="173"/>
      <c r="E26" s="173"/>
      <c r="F26" s="173"/>
    </row>
    <row r="28" spans="2:6">
      <c r="B28" s="87" t="s">
        <v>11</v>
      </c>
      <c r="C28" s="88" t="s">
        <v>2</v>
      </c>
      <c r="D28" s="89" t="s">
        <v>3</v>
      </c>
      <c r="E28" s="89" t="s">
        <v>20</v>
      </c>
      <c r="F28" s="89" t="s">
        <v>4</v>
      </c>
    </row>
    <row r="29" spans="2:6">
      <c r="B29" s="22" t="s">
        <v>34</v>
      </c>
      <c r="C29" s="76" t="e">
        <v>#VALUE!</v>
      </c>
      <c r="D29" s="76">
        <v>1368</v>
      </c>
      <c r="E29" s="76">
        <v>0</v>
      </c>
      <c r="F29" s="81">
        <v>74590</v>
      </c>
    </row>
    <row r="30" spans="2:6">
      <c r="B30" s="22" t="s">
        <v>49</v>
      </c>
      <c r="C30" s="76">
        <v>840</v>
      </c>
      <c r="D30" s="76">
        <v>494</v>
      </c>
      <c r="E30" s="76">
        <v>0</v>
      </c>
      <c r="F30" s="81">
        <v>62530</v>
      </c>
    </row>
    <row r="31" spans="2:6">
      <c r="B31" s="86" t="s">
        <v>45</v>
      </c>
      <c r="C31" s="83" t="e">
        <f>SUM(C29:C30)</f>
        <v>#VALUE!</v>
      </c>
      <c r="D31" s="83">
        <f>SUM(D29:D30)</f>
        <v>1862</v>
      </c>
      <c r="E31" s="83">
        <f>SUM(E29:E30)</f>
        <v>0</v>
      </c>
      <c r="F31" s="85">
        <f>SUM(F29:F30)</f>
        <v>137120</v>
      </c>
    </row>
    <row r="33" spans="2:6" ht="18.5">
      <c r="B33" s="173" t="s">
        <v>51</v>
      </c>
      <c r="C33" s="173"/>
      <c r="D33" s="173"/>
      <c r="E33" s="173"/>
      <c r="F33" s="173"/>
    </row>
    <row r="35" spans="2:6">
      <c r="B35" s="87" t="s">
        <v>11</v>
      </c>
      <c r="C35" s="92" t="s">
        <v>2</v>
      </c>
      <c r="D35" s="93" t="s">
        <v>3</v>
      </c>
      <c r="E35" s="91" t="s">
        <v>20</v>
      </c>
      <c r="F35" s="90" t="s">
        <v>4</v>
      </c>
    </row>
    <row r="36" spans="2:6">
      <c r="B36" s="22" t="s">
        <v>19</v>
      </c>
      <c r="C36" s="30">
        <v>385</v>
      </c>
      <c r="D36" s="30">
        <v>96</v>
      </c>
      <c r="E36" s="30">
        <v>83</v>
      </c>
      <c r="F36" s="94">
        <v>3937</v>
      </c>
    </row>
    <row r="37" spans="2:6">
      <c r="B37" s="86" t="s">
        <v>45</v>
      </c>
      <c r="C37" s="83">
        <f>SUM(C36)</f>
        <v>385</v>
      </c>
      <c r="D37" s="83">
        <f>SUM(D36)</f>
        <v>96</v>
      </c>
      <c r="E37" s="83">
        <f>SUM(E36)</f>
        <v>83</v>
      </c>
      <c r="F37" s="84">
        <f>SUM(F36)</f>
        <v>3937</v>
      </c>
    </row>
  </sheetData>
  <mergeCells count="4">
    <mergeCell ref="B8:F8"/>
    <mergeCell ref="B17:F17"/>
    <mergeCell ref="B26:F26"/>
    <mergeCell ref="B33:F3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9480-FCAD-4AF3-91AE-A4ED2C356861}">
  <dimension ref="B1:O4"/>
  <sheetViews>
    <sheetView workbookViewId="0">
      <selection activeCell="D7" sqref="D7"/>
    </sheetView>
  </sheetViews>
  <sheetFormatPr defaultRowHeight="14.5"/>
  <cols>
    <col min="1" max="1" width="1.54296875" customWidth="1"/>
    <col min="2" max="2" width="19.453125" customWidth="1"/>
    <col min="3" max="3" width="15" customWidth="1"/>
    <col min="4" max="9" width="17.453125" customWidth="1"/>
    <col min="12" max="12" width="9.1796875"/>
    <col min="13" max="13" width="5.81640625" customWidth="1"/>
    <col min="16" max="16" width="12" bestFit="1" customWidth="1"/>
    <col min="17" max="17" width="13.453125" bestFit="1" customWidth="1"/>
  </cols>
  <sheetData>
    <row r="1" spans="2:15" ht="11.25" customHeight="1">
      <c r="B1" s="77"/>
      <c r="C1" s="45"/>
      <c r="D1" s="2"/>
      <c r="E1" s="2"/>
      <c r="F1" s="2"/>
      <c r="G1" s="2"/>
      <c r="H1" s="2"/>
      <c r="I1" s="2"/>
      <c r="J1" s="9"/>
      <c r="K1" s="9"/>
      <c r="L1" s="9"/>
      <c r="M1" s="9"/>
      <c r="N1" s="9"/>
      <c r="O1" s="9"/>
    </row>
    <row r="2" spans="2:15" s="1" customFormat="1" ht="31" customHeight="1">
      <c r="B2" s="4" t="s">
        <v>46</v>
      </c>
      <c r="C2" s="12"/>
      <c r="D2" s="3"/>
      <c r="E2" s="79"/>
      <c r="F2" s="3"/>
      <c r="G2" s="3"/>
      <c r="H2" s="3"/>
      <c r="I2" s="3"/>
      <c r="J2" s="13"/>
      <c r="K2" s="13"/>
      <c r="L2" s="13"/>
      <c r="M2" s="13"/>
      <c r="N2" s="13"/>
      <c r="O2" s="13"/>
    </row>
    <row r="3" spans="2:15" s="1" customFormat="1" ht="31" customHeight="1">
      <c r="B3" s="4" t="s">
        <v>56</v>
      </c>
      <c r="C3" s="56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</row>
    <row r="4" spans="2:15" ht="21" customHeight="1">
      <c r="C4" s="6"/>
      <c r="J4" s="10"/>
      <c r="K4" s="10"/>
      <c r="L4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5E94-09C1-4564-817D-B9386A68582A}">
  <dimension ref="A1:M47"/>
  <sheetViews>
    <sheetView showGridLines="0" topLeftCell="A19" zoomScaleNormal="100" workbookViewId="0">
      <selection activeCell="C8" sqref="C8"/>
    </sheetView>
  </sheetViews>
  <sheetFormatPr defaultRowHeight="14.5"/>
  <cols>
    <col min="1" max="1" width="2" customWidth="1"/>
    <col min="2" max="2" width="19.453125" customWidth="1"/>
    <col min="3" max="3" width="15" customWidth="1"/>
    <col min="4" max="9" width="17.453125" customWidth="1"/>
    <col min="13" max="13" width="4" style="18" customWidth="1"/>
  </cols>
  <sheetData>
    <row r="1" spans="2:13" ht="21" customHeight="1">
      <c r="B1" s="2"/>
      <c r="C1" s="5"/>
      <c r="D1" s="2"/>
      <c r="E1" s="2"/>
      <c r="F1" s="2"/>
      <c r="G1" s="2"/>
      <c r="H1" s="2"/>
      <c r="I1" s="2"/>
      <c r="J1" s="9"/>
      <c r="K1" s="9"/>
      <c r="L1" s="9"/>
    </row>
    <row r="2" spans="2:13" s="1" customFormat="1" ht="31" customHeight="1">
      <c r="B2" s="40" t="s">
        <v>24</v>
      </c>
      <c r="C2" s="12"/>
      <c r="D2" s="3"/>
      <c r="E2" s="3"/>
      <c r="F2" s="3"/>
      <c r="G2" s="3"/>
      <c r="H2" s="3"/>
      <c r="I2" s="3"/>
      <c r="J2" s="13"/>
      <c r="K2" s="13"/>
      <c r="L2" s="13"/>
      <c r="M2" s="19"/>
    </row>
    <row r="3" spans="2:13" s="1" customFormat="1" ht="31" customHeight="1">
      <c r="B3" s="40" t="s">
        <v>25</v>
      </c>
      <c r="C3" s="12"/>
      <c r="D3" s="3"/>
      <c r="E3" s="3"/>
      <c r="F3" s="3"/>
      <c r="G3" s="3"/>
      <c r="H3" s="3"/>
      <c r="I3" s="3"/>
      <c r="J3" s="13"/>
      <c r="K3" s="13"/>
      <c r="L3" s="13"/>
      <c r="M3" s="19"/>
    </row>
    <row r="4" spans="2:13" ht="21" customHeight="1">
      <c r="C4" s="6"/>
      <c r="J4" s="10"/>
      <c r="K4" s="10"/>
      <c r="L4" s="10"/>
    </row>
    <row r="5" spans="2:13" ht="21" customHeight="1">
      <c r="B5" t="s">
        <v>13</v>
      </c>
      <c r="C5" s="17">
        <f ca="1">DATE(YEAR(TODAY())+0,11,1)</f>
        <v>45231</v>
      </c>
      <c r="J5" s="10"/>
      <c r="K5" s="10"/>
      <c r="L5" s="10"/>
    </row>
    <row r="6" spans="2:13" ht="21" customHeight="1">
      <c r="C6" s="6"/>
      <c r="J6" s="10"/>
      <c r="K6" s="10"/>
      <c r="L6" s="10"/>
    </row>
    <row r="7" spans="2:13" ht="42" customHeight="1">
      <c r="B7" s="15" t="s">
        <v>11</v>
      </c>
      <c r="C7" s="15" t="s">
        <v>15</v>
      </c>
      <c r="D7" s="16" t="s">
        <v>12</v>
      </c>
    </row>
    <row r="8" spans="2:13" s="7" customFormat="1" ht="21" customHeight="1">
      <c r="B8" s="22" cm="1">
        <f t="array" ref="B8">DATE(YEAR(Starting_Month),MONTH(Starting_Month)+0,1)</f>
        <v>44136</v>
      </c>
      <c r="C8" s="23" t="e">
        <f>SUM('Inpute Data'!#REF!)</f>
        <v>#REF!</v>
      </c>
      <c r="D8" s="23"/>
      <c r="M8" s="24"/>
    </row>
    <row r="9" spans="2:13" s="7" customFormat="1" ht="21" customHeight="1">
      <c r="B9" s="22">
        <f>DATE(YEAR(Starting_Month),MONTH(Starting_Month)+1,1)</f>
        <v>44166</v>
      </c>
      <c r="C9" s="23">
        <f>SUM('Inpute Data'!F2:F295)</f>
        <v>50054</v>
      </c>
      <c r="D9" s="25"/>
      <c r="M9" s="24"/>
    </row>
    <row r="10" spans="2:13" s="7" customFormat="1" ht="21" customHeight="1">
      <c r="B10" s="22">
        <f>DATE(YEAR(Starting_Month),MONTH(Starting_Month)+2,1)</f>
        <v>44197</v>
      </c>
      <c r="C10" s="23"/>
      <c r="D10" s="23"/>
      <c r="M10" s="24"/>
    </row>
    <row r="11" spans="2:13" s="7" customFormat="1" ht="21" customHeight="1">
      <c r="B11" s="22">
        <f>DATE(YEAR(Starting_Month),MONTH(Starting_Month)+3,1)</f>
        <v>44228</v>
      </c>
      <c r="C11" s="23"/>
      <c r="D11" s="23"/>
      <c r="M11" s="24"/>
    </row>
    <row r="12" spans="2:13" s="7" customFormat="1" ht="21" customHeight="1">
      <c r="B12" s="22">
        <f>DATE(YEAR(Starting_Month),MONTH(Starting_Month)+4,1)</f>
        <v>44256</v>
      </c>
      <c r="D12" s="23"/>
      <c r="M12" s="24"/>
    </row>
    <row r="13" spans="2:13" s="7" customFormat="1" ht="21" customHeight="1">
      <c r="B13" s="22">
        <f>DATE(YEAR(Starting_Month),MONTH(Starting_Month)+5,1)</f>
        <v>44287</v>
      </c>
      <c r="C13" s="23"/>
      <c r="D13" s="26"/>
      <c r="M13" s="24"/>
    </row>
    <row r="14" spans="2:13" s="7" customFormat="1" ht="21" customHeight="1">
      <c r="B14" s="22">
        <f>DATE(YEAR(Starting_Month),MONTH(Starting_Month)+6,1)</f>
        <v>44317</v>
      </c>
      <c r="C14" s="23"/>
      <c r="D14" s="23"/>
      <c r="M14" s="24"/>
    </row>
    <row r="15" spans="2:1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7" spans="2:6" ht="15.5">
      <c r="B17" s="28" t="s">
        <v>14</v>
      </c>
    </row>
    <row r="19" spans="2:6" ht="42" customHeight="1">
      <c r="B19" s="14" t="s">
        <v>16</v>
      </c>
      <c r="C19" s="15" t="s">
        <v>2</v>
      </c>
      <c r="D19" s="15" t="s">
        <v>3</v>
      </c>
      <c r="E19" s="15" t="s">
        <v>20</v>
      </c>
      <c r="F19" s="15" t="s">
        <v>4</v>
      </c>
    </row>
    <row r="20" spans="2:6">
      <c r="B20" s="27" t="s">
        <v>10</v>
      </c>
      <c r="C20" s="30">
        <v>20</v>
      </c>
      <c r="D20" s="30">
        <v>6</v>
      </c>
      <c r="E20" s="30">
        <v>3</v>
      </c>
      <c r="F20" s="37">
        <v>5</v>
      </c>
    </row>
    <row r="21" spans="2:6">
      <c r="B21" s="27" t="s">
        <v>17</v>
      </c>
      <c r="C21" s="30">
        <v>30</v>
      </c>
      <c r="D21" s="30">
        <v>15</v>
      </c>
      <c r="E21" s="30">
        <v>15</v>
      </c>
      <c r="F21" s="37">
        <v>15</v>
      </c>
    </row>
    <row r="22" spans="2:6">
      <c r="B22" s="27" t="s">
        <v>18</v>
      </c>
      <c r="C22" s="30">
        <v>51</v>
      </c>
      <c r="D22" s="30">
        <v>15</v>
      </c>
      <c r="E22" s="30">
        <v>15</v>
      </c>
      <c r="F22" s="37">
        <v>15</v>
      </c>
    </row>
    <row r="23" spans="2:6">
      <c r="B23" s="27" t="s">
        <v>19</v>
      </c>
      <c r="C23" s="30">
        <v>35</v>
      </c>
      <c r="D23" s="30">
        <v>15</v>
      </c>
      <c r="E23" s="30">
        <v>15</v>
      </c>
      <c r="F23" s="37">
        <v>15</v>
      </c>
    </row>
    <row r="24" spans="2:6">
      <c r="B24" s="36"/>
    </row>
    <row r="39" spans="1:1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/>
    </row>
    <row r="41" spans="1:13">
      <c r="B41" t="s">
        <v>21</v>
      </c>
    </row>
    <row r="42" spans="1:13" ht="15" thickBot="1"/>
    <row r="43" spans="1:13" ht="42" customHeight="1" thickBot="1">
      <c r="B43" s="31" t="s">
        <v>0</v>
      </c>
      <c r="C43" s="32" t="s">
        <v>2</v>
      </c>
      <c r="D43" s="32" t="s">
        <v>3</v>
      </c>
      <c r="E43" s="32" t="s">
        <v>20</v>
      </c>
      <c r="F43" s="32" t="s">
        <v>4</v>
      </c>
      <c r="G43" s="33" t="s">
        <v>5</v>
      </c>
      <c r="H43" s="34" t="s">
        <v>12</v>
      </c>
    </row>
    <row r="44" spans="1:13" ht="15" thickBot="1">
      <c r="B44" s="35" t="s">
        <v>8</v>
      </c>
      <c r="C44" s="41"/>
      <c r="D44" s="41"/>
      <c r="E44" s="41"/>
      <c r="F44" s="41"/>
      <c r="G44" s="41"/>
      <c r="H44" s="38">
        <v>500000</v>
      </c>
    </row>
    <row r="45" spans="1:13" ht="15" thickBot="1">
      <c r="B45" s="35" t="s">
        <v>22</v>
      </c>
      <c r="C45" s="41"/>
      <c r="D45" s="41"/>
      <c r="E45" s="41"/>
      <c r="F45" s="41"/>
      <c r="G45" s="41"/>
      <c r="H45" s="38">
        <v>100000</v>
      </c>
    </row>
    <row r="46" spans="1:13" ht="15" thickBot="1">
      <c r="B46" s="35" t="s">
        <v>23</v>
      </c>
      <c r="C46" s="41"/>
      <c r="D46" s="41"/>
      <c r="E46" s="41"/>
      <c r="F46" s="41"/>
      <c r="G46" s="41"/>
      <c r="H46" s="38">
        <v>500000</v>
      </c>
    </row>
    <row r="47" spans="1:13" ht="15" thickBot="1">
      <c r="B47" s="42"/>
      <c r="C47" s="43"/>
      <c r="D47" s="43"/>
      <c r="E47" s="43"/>
      <c r="F47" s="43"/>
      <c r="G47" s="43"/>
      <c r="H47" s="39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52D3-7F79-4D3F-9623-7369DF7BA4B6}">
  <dimension ref="A1"/>
  <sheetViews>
    <sheetView workbookViewId="0">
      <selection activeCell="B28" sqref="B28"/>
    </sheetView>
  </sheetViews>
  <sheetFormatPr defaultRowHeight="14.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FA30-C150-40F7-9F8F-8CEBDA66CAFD}">
  <dimension ref="A1:M56"/>
  <sheetViews>
    <sheetView showGridLines="0" topLeftCell="A7" workbookViewId="0">
      <selection activeCell="B28" sqref="B28"/>
    </sheetView>
  </sheetViews>
  <sheetFormatPr defaultRowHeight="14.5"/>
  <cols>
    <col min="1" max="1" width="1.54296875" customWidth="1"/>
    <col min="2" max="2" width="19.453125" style="18" customWidth="1"/>
    <col min="3" max="3" width="15" customWidth="1"/>
    <col min="4" max="9" width="17.453125" customWidth="1"/>
    <col min="13" max="13" width="2" style="18" customWidth="1"/>
  </cols>
  <sheetData>
    <row r="1" spans="2:13" ht="11.25" customHeight="1">
      <c r="B1" s="47"/>
      <c r="C1" s="45"/>
      <c r="D1" s="2"/>
      <c r="E1" s="2"/>
      <c r="F1" s="2"/>
      <c r="G1" s="2"/>
      <c r="H1" s="2"/>
      <c r="I1" s="2"/>
      <c r="J1" s="9"/>
      <c r="K1" s="9"/>
      <c r="L1" s="9"/>
    </row>
    <row r="2" spans="2:13" s="1" customFormat="1" ht="31" customHeight="1">
      <c r="B2" s="48" t="s">
        <v>24</v>
      </c>
      <c r="C2" s="12"/>
      <c r="D2" s="3"/>
      <c r="E2" s="3"/>
      <c r="F2" s="3"/>
      <c r="G2" s="3"/>
      <c r="H2" s="3"/>
      <c r="I2" s="3"/>
      <c r="J2" s="13"/>
      <c r="K2" s="13"/>
      <c r="L2" s="13"/>
      <c r="M2" s="19"/>
    </row>
    <row r="3" spans="2:13" s="1" customFormat="1" ht="31" customHeight="1">
      <c r="B3" s="48" t="s">
        <v>40</v>
      </c>
      <c r="C3" s="56"/>
      <c r="D3" s="67">
        <v>2020</v>
      </c>
      <c r="E3" s="57"/>
      <c r="F3" s="57"/>
      <c r="G3" s="57"/>
      <c r="H3" s="57"/>
      <c r="I3" s="57"/>
      <c r="J3" s="58"/>
      <c r="K3" s="58"/>
      <c r="L3" s="58"/>
      <c r="M3" s="19"/>
    </row>
    <row r="4" spans="2:13" ht="21" customHeight="1">
      <c r="C4" s="6"/>
      <c r="J4" s="10"/>
      <c r="K4" s="10"/>
      <c r="L4" s="10"/>
    </row>
    <row r="5" spans="2:13" ht="15.5">
      <c r="B5" s="49" t="s">
        <v>27</v>
      </c>
      <c r="C5" s="6"/>
      <c r="J5" s="10"/>
      <c r="K5" s="10"/>
      <c r="L5" s="10"/>
    </row>
    <row r="6" spans="2:13">
      <c r="J6" s="10"/>
      <c r="K6" s="10"/>
      <c r="L6" s="10"/>
    </row>
    <row r="7" spans="2:13">
      <c r="B7" s="18" t="s">
        <v>13</v>
      </c>
      <c r="C7" s="17">
        <f ca="1">DATE(YEAR(TODAY())+0,1,1)</f>
        <v>44927</v>
      </c>
      <c r="J7" s="10"/>
      <c r="K7" s="10"/>
      <c r="L7" s="10"/>
    </row>
    <row r="8" spans="2:13">
      <c r="C8" s="46"/>
      <c r="J8" s="10"/>
      <c r="K8" s="10"/>
      <c r="L8" s="10"/>
    </row>
    <row r="9" spans="2:13" ht="42" customHeight="1">
      <c r="B9" s="15" t="s">
        <v>11</v>
      </c>
      <c r="C9" s="44" t="s">
        <v>26</v>
      </c>
      <c r="D9" s="16" t="s">
        <v>41</v>
      </c>
    </row>
    <row r="10" spans="2:13" s="7" customFormat="1" ht="21" customHeight="1">
      <c r="B10" s="22">
        <f ca="1">DATE(YEAR(S_Month),MONTH(S_Month)+0,1)</f>
        <v>44927</v>
      </c>
      <c r="C10" s="23">
        <f ca="1">SUMIFS(Data[Qty Sold],Data[Date],"&gt;="&amp;Yearly!B10,Data[Date],"&lt;="&amp;DATE(YEAR(Yearly!B10),MONTH(Yearly!B10)+1,0))</f>
        <v>0</v>
      </c>
      <c r="D10" s="23">
        <f ca="1">IF(ISNUMBER(D9),D9+C10,C10)</f>
        <v>0</v>
      </c>
      <c r="M10" s="24"/>
    </row>
    <row r="11" spans="2:13" s="7" customFormat="1" ht="21" customHeight="1">
      <c r="B11" s="22">
        <f ca="1">DATE(YEAR(S_Month),MONTH(S_Month)+1,1)</f>
        <v>44958</v>
      </c>
      <c r="C11" s="23">
        <f ca="1">SUMIFS(Data[Qty Sold],Data[Date],"&gt;="&amp;Yearly!B11,Data[Date],"&lt;="&amp;DATE(YEAR(Yearly!B11),MONTH(Yearly!B11)+1,0))</f>
        <v>0</v>
      </c>
      <c r="D11" s="23">
        <f t="shared" ref="D11:D20" ca="1" si="0">IF(ISNUMBER(D10),D10+C11,C11)</f>
        <v>0</v>
      </c>
      <c r="M11" s="24"/>
    </row>
    <row r="12" spans="2:13" s="7" customFormat="1" ht="21" customHeight="1">
      <c r="B12" s="22">
        <f ca="1">DATE(YEAR(S_Month),MONTH(S_Month)+2,1)</f>
        <v>44986</v>
      </c>
      <c r="C12" s="23">
        <f ca="1">SUMIFS(Data[Qty Sold],Data[Date],"&gt;="&amp;Yearly!B12,Data[Date],"&lt;="&amp;DATE(YEAR(Yearly!B12),MONTH(Yearly!B12)+1,0))</f>
        <v>0</v>
      </c>
      <c r="D12" s="23">
        <f t="shared" ca="1" si="0"/>
        <v>0</v>
      </c>
      <c r="M12" s="24"/>
    </row>
    <row r="13" spans="2:13" s="7" customFormat="1" ht="21" customHeight="1">
      <c r="B13" s="22">
        <f ca="1">DATE(YEAR(S_Month),MONTH(S_Month)+3,1)</f>
        <v>45017</v>
      </c>
      <c r="C13" s="23">
        <f ca="1">SUMIFS(Data[Qty Sold],Data[Date],"&gt;="&amp;Yearly!B13,Data[Date],"&lt;="&amp;DATE(YEAR(Yearly!B13),MONTH(Yearly!B13)+1,0))</f>
        <v>0</v>
      </c>
      <c r="D13" s="23">
        <f t="shared" ca="1" si="0"/>
        <v>0</v>
      </c>
      <c r="M13" s="24"/>
    </row>
    <row r="14" spans="2:13" s="7" customFormat="1" ht="21" customHeight="1">
      <c r="B14" s="22">
        <f ca="1">DATE(YEAR(S_Month),MONTH(S_Month)+4,1)</f>
        <v>45047</v>
      </c>
      <c r="C14" s="23">
        <f ca="1">SUMIFS(Data[Qty Sold],Data[Date],"&gt;="&amp;Yearly!B14,Data[Date],"&lt;="&amp;DATE(YEAR(Yearly!B14),MONTH(Yearly!B14)+1,0))</f>
        <v>0</v>
      </c>
      <c r="D14" s="23">
        <f t="shared" ca="1" si="0"/>
        <v>0</v>
      </c>
      <c r="M14" s="24"/>
    </row>
    <row r="15" spans="2:13" s="7" customFormat="1" ht="21" customHeight="1">
      <c r="B15" s="22">
        <f ca="1">DATE(YEAR(S_Month),MONTH(S_Month)+5,1)</f>
        <v>45078</v>
      </c>
      <c r="C15" s="23">
        <f ca="1">SUMIFS(Data[Qty Sold],Data[Date],"&gt;="&amp;Yearly!B15,Data[Date],"&lt;="&amp;DATE(YEAR(Yearly!B15),MONTH(Yearly!B15)+1,0))</f>
        <v>0</v>
      </c>
      <c r="D15" s="23">
        <f t="shared" ca="1" si="0"/>
        <v>0</v>
      </c>
      <c r="M15" s="24"/>
    </row>
    <row r="16" spans="2:13" s="7" customFormat="1" ht="21" customHeight="1">
      <c r="B16" s="22">
        <f ca="1">DATE(YEAR(S_Month),MONTH(S_Month)+6,1)</f>
        <v>45108</v>
      </c>
      <c r="C16" s="23">
        <f ca="1">SUMIFS(Data[Qty Sold],Data[Date],"&gt;="&amp;Yearly!B16,Data[Date],"&lt;="&amp;DATE(YEAR(Yearly!B16),MONTH(Yearly!B16)+1,0))</f>
        <v>0</v>
      </c>
      <c r="D16" s="23">
        <f t="shared" ca="1" si="0"/>
        <v>0</v>
      </c>
      <c r="M16" s="24"/>
    </row>
    <row r="17" spans="2:13" s="7" customFormat="1" ht="21" customHeight="1">
      <c r="B17" s="22">
        <f ca="1">DATE(YEAR(S_Month),MONTH(S_Month)+7,1)</f>
        <v>45139</v>
      </c>
      <c r="C17" s="23">
        <f ca="1">SUMIFS(Data[Qty Sold],Data[Date],"&gt;="&amp;Yearly!B17,Data[Date],"&lt;="&amp;DATE(YEAR(Yearly!B17),MONTH(Yearly!B17)+1,0))</f>
        <v>0</v>
      </c>
      <c r="D17" s="23">
        <f t="shared" ca="1" si="0"/>
        <v>0</v>
      </c>
      <c r="M17" s="24"/>
    </row>
    <row r="18" spans="2:13" s="7" customFormat="1" ht="21" customHeight="1">
      <c r="B18" s="22">
        <f ca="1">DATE(YEAR(S_Month),MONTH(S_Month)+8,1)</f>
        <v>45170</v>
      </c>
      <c r="C18" s="23">
        <f ca="1">SUMIFS(Data[Qty Sold],Data[Date],"&gt;="&amp;Yearly!B18,Data[Date],"&lt;="&amp;DATE(YEAR(Yearly!B18),MONTH(Yearly!B18)+1,0))</f>
        <v>0</v>
      </c>
      <c r="D18" s="23">
        <f t="shared" ca="1" si="0"/>
        <v>0</v>
      </c>
      <c r="M18" s="24"/>
    </row>
    <row r="19" spans="2:13" s="7" customFormat="1" ht="21" customHeight="1">
      <c r="B19" s="22">
        <f ca="1">DATE(YEAR(S_Month),MONTH(S_Month)+9,1)</f>
        <v>45200</v>
      </c>
      <c r="C19" s="23">
        <f ca="1">SUMIFS(Data[Qty Sold],Data[Date],"&gt;="&amp;Yearly!B19,Data[Date],"&lt;="&amp;DATE(YEAR(Yearly!B19),MONTH(Yearly!B19)+1,0))</f>
        <v>0</v>
      </c>
      <c r="D19" s="23">
        <f t="shared" ca="1" si="0"/>
        <v>0</v>
      </c>
      <c r="M19" s="24"/>
    </row>
    <row r="20" spans="2:13" s="7" customFormat="1" ht="21" customHeight="1">
      <c r="B20" s="22">
        <f ca="1">DATE(YEAR(S_Month),MONTH(S_Month)+10,1)</f>
        <v>45231</v>
      </c>
      <c r="C20" s="23">
        <f ca="1">SUMIFS(Data[Qty Sold],Data[Date],"&gt;="&amp;Yearly!B20,Data[Date],"&lt;="&amp;DATE(YEAR(Yearly!B20),MONTH(Yearly!B20)+1,0))</f>
        <v>0</v>
      </c>
      <c r="D20" s="23">
        <f t="shared" ca="1" si="0"/>
        <v>0</v>
      </c>
      <c r="M20" s="24"/>
    </row>
    <row r="21" spans="2:13" s="7" customFormat="1" ht="21" customHeight="1">
      <c r="B21" s="68"/>
      <c r="C21" s="69"/>
      <c r="D21" s="69"/>
      <c r="M21" s="24"/>
    </row>
    <row r="22" spans="2:13" s="7" customFormat="1" ht="21" customHeight="1">
      <c r="B22" s="68"/>
      <c r="C22" s="69"/>
      <c r="D22" s="69"/>
      <c r="M22" s="24"/>
    </row>
    <row r="23" spans="2:13" s="7" customFormat="1" ht="21" customHeight="1">
      <c r="B23" s="68"/>
      <c r="C23" s="69"/>
      <c r="D23" s="69"/>
      <c r="M23" s="24"/>
    </row>
    <row r="24" spans="2:13">
      <c r="B24" s="29"/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6" spans="2:13" ht="15.5">
      <c r="B26" s="50" t="s">
        <v>28</v>
      </c>
    </row>
    <row r="28" spans="2:13" ht="42" customHeight="1">
      <c r="B28" s="51" t="s">
        <v>16</v>
      </c>
      <c r="C28" s="15" t="s">
        <v>2</v>
      </c>
      <c r="D28" s="15" t="s">
        <v>3</v>
      </c>
      <c r="E28" s="15" t="s">
        <v>20</v>
      </c>
      <c r="F28" s="15" t="s">
        <v>4</v>
      </c>
    </row>
    <row r="29" spans="2:13">
      <c r="B29" s="27" t="s">
        <v>10</v>
      </c>
      <c r="C29" s="30">
        <v>20</v>
      </c>
      <c r="D29" s="30">
        <v>6</v>
      </c>
      <c r="E29" s="30">
        <v>3</v>
      </c>
      <c r="F29" s="37">
        <v>5</v>
      </c>
    </row>
    <row r="30" spans="2:13">
      <c r="B30" s="27" t="s">
        <v>17</v>
      </c>
      <c r="C30" s="30">
        <v>30</v>
      </c>
      <c r="D30" s="30">
        <v>15</v>
      </c>
      <c r="E30" s="30">
        <v>15</v>
      </c>
      <c r="F30" s="37">
        <v>15</v>
      </c>
    </row>
    <row r="31" spans="2:13">
      <c r="B31" s="27" t="s">
        <v>18</v>
      </c>
      <c r="C31" s="30">
        <v>51</v>
      </c>
      <c r="D31" s="30">
        <v>15</v>
      </c>
      <c r="E31" s="30">
        <v>15</v>
      </c>
      <c r="F31" s="37">
        <v>15</v>
      </c>
    </row>
    <row r="32" spans="2:13">
      <c r="B32" s="27" t="s">
        <v>19</v>
      </c>
      <c r="C32" s="30">
        <v>35</v>
      </c>
      <c r="D32" s="30">
        <v>15</v>
      </c>
      <c r="E32" s="30">
        <v>15</v>
      </c>
      <c r="F32" s="37">
        <v>15</v>
      </c>
    </row>
    <row r="33" spans="1:13">
      <c r="B33" s="52"/>
    </row>
    <row r="48" spans="1:13">
      <c r="A48" s="20"/>
      <c r="B48" s="2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/>
    </row>
    <row r="50" spans="2:8">
      <c r="B50" s="59" t="s">
        <v>21</v>
      </c>
    </row>
    <row r="51" spans="2:8" ht="15" thickBot="1"/>
    <row r="52" spans="2:8" ht="42" customHeight="1" thickBot="1">
      <c r="B52" s="53" t="s">
        <v>0</v>
      </c>
      <c r="C52" s="32" t="s">
        <v>2</v>
      </c>
      <c r="D52" s="32" t="s">
        <v>3</v>
      </c>
      <c r="E52" s="32" t="s">
        <v>20</v>
      </c>
      <c r="F52" s="32" t="s">
        <v>4</v>
      </c>
      <c r="G52" s="33" t="s">
        <v>5</v>
      </c>
      <c r="H52" s="34" t="s">
        <v>12</v>
      </c>
    </row>
    <row r="53" spans="2:8" ht="15" thickBot="1">
      <c r="B53" s="54" t="s">
        <v>8</v>
      </c>
      <c r="C53" s="41"/>
      <c r="D53" s="41"/>
      <c r="E53" s="41"/>
      <c r="F53" s="41"/>
      <c r="G53" s="41"/>
      <c r="H53" s="38">
        <v>500000</v>
      </c>
    </row>
    <row r="54" spans="2:8" ht="15" thickBot="1">
      <c r="B54" s="54" t="s">
        <v>22</v>
      </c>
      <c r="C54" s="41"/>
      <c r="D54" s="41"/>
      <c r="E54" s="41"/>
      <c r="F54" s="41"/>
      <c r="G54" s="41"/>
      <c r="H54" s="38">
        <v>100000</v>
      </c>
    </row>
    <row r="55" spans="2:8" ht="15" thickBot="1">
      <c r="B55" s="54" t="s">
        <v>23</v>
      </c>
      <c r="C55" s="41"/>
      <c r="D55" s="41"/>
      <c r="E55" s="41"/>
      <c r="F55" s="41"/>
      <c r="G55" s="41"/>
      <c r="H55" s="38">
        <v>500000</v>
      </c>
    </row>
    <row r="56" spans="2:8" ht="15" thickBot="1">
      <c r="B56" s="55"/>
      <c r="C56" s="43"/>
      <c r="D56" s="43"/>
      <c r="E56" s="43"/>
      <c r="F56" s="43"/>
      <c r="G56" s="43"/>
      <c r="H56" s="39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631B-081D-4A36-83F2-BA83A49858E3}">
  <dimension ref="C2:G14"/>
  <sheetViews>
    <sheetView showGridLines="0" workbookViewId="0">
      <selection activeCell="I8" sqref="I8"/>
    </sheetView>
  </sheetViews>
  <sheetFormatPr defaultRowHeight="14.5"/>
  <cols>
    <col min="3" max="3" width="11" bestFit="1" customWidth="1"/>
    <col min="4" max="4" width="3" customWidth="1"/>
    <col min="5" max="5" width="13.453125" bestFit="1" customWidth="1"/>
    <col min="6" max="6" width="3.54296875" customWidth="1"/>
    <col min="7" max="7" width="15.453125" bestFit="1" customWidth="1"/>
    <col min="8" max="8" width="4.1796875" customWidth="1"/>
  </cols>
  <sheetData>
    <row r="2" spans="3:7">
      <c r="C2" s="71" t="s">
        <v>42</v>
      </c>
      <c r="D2" s="70"/>
      <c r="E2" s="71" t="s">
        <v>1</v>
      </c>
      <c r="G2" s="60" t="s">
        <v>11</v>
      </c>
    </row>
    <row r="3" spans="3:7">
      <c r="C3" s="72" t="s">
        <v>33</v>
      </c>
      <c r="E3" s="72" t="s">
        <v>43</v>
      </c>
      <c r="G3" s="80">
        <f ca="1">DATE(YEAR(TODAY())+0,-2,0)</f>
        <v>44834</v>
      </c>
    </row>
    <row r="4" spans="3:7">
      <c r="C4" s="72" t="s">
        <v>39</v>
      </c>
      <c r="E4" s="72" t="s">
        <v>34</v>
      </c>
      <c r="G4" s="80">
        <f ca="1">DATE(YEAR(TODAY())+0,-1,0)</f>
        <v>44865</v>
      </c>
    </row>
    <row r="5" spans="3:7">
      <c r="C5" s="72" t="s">
        <v>8</v>
      </c>
      <c r="E5" s="72" t="s">
        <v>30</v>
      </c>
      <c r="G5" s="80">
        <f ca="1">DATE(YEAR(TODAY())+0,0,0)</f>
        <v>44895</v>
      </c>
    </row>
    <row r="6" spans="3:7">
      <c r="C6" s="72" t="s">
        <v>37</v>
      </c>
      <c r="E6" s="72" t="s">
        <v>44</v>
      </c>
      <c r="G6" s="80">
        <f ca="1">DATE(YEAR(TODAY())+0,1,0)</f>
        <v>44926</v>
      </c>
    </row>
    <row r="7" spans="3:7">
      <c r="C7" s="72" t="s">
        <v>36</v>
      </c>
      <c r="E7" s="72" t="s">
        <v>10</v>
      </c>
      <c r="G7" s="80">
        <f ca="1">DATE(YEAR(TODAY())+0,2,0)</f>
        <v>44957</v>
      </c>
    </row>
    <row r="8" spans="3:7">
      <c r="C8" s="72" t="s">
        <v>22</v>
      </c>
      <c r="E8" s="72" t="s">
        <v>35</v>
      </c>
      <c r="G8" s="80">
        <f ca="1">DATE(YEAR(TODAY())+0,3,0)</f>
        <v>44985</v>
      </c>
    </row>
    <row r="9" spans="3:7">
      <c r="C9" s="72" t="s">
        <v>9</v>
      </c>
      <c r="E9" s="72" t="s">
        <v>31</v>
      </c>
      <c r="G9" s="80">
        <f ca="1">DATE(YEAR(TODAY())+0,4,0)</f>
        <v>45016</v>
      </c>
    </row>
    <row r="10" spans="3:7">
      <c r="C10" s="72" t="s">
        <v>38</v>
      </c>
      <c r="G10" s="80">
        <f ca="1">DATE(YEAR(TODAY())+0,4,6)</f>
        <v>45022</v>
      </c>
    </row>
    <row r="11" spans="3:7">
      <c r="G11" s="80">
        <f ca="1">DATE(YEAR(TODAY())+0,6,0)</f>
        <v>45077</v>
      </c>
    </row>
    <row r="12" spans="3:7">
      <c r="G12" s="80">
        <f ca="1">DATE(YEAR(TODAY())+0,7,0)</f>
        <v>45107</v>
      </c>
    </row>
    <row r="13" spans="3:7">
      <c r="G13" s="80">
        <f ca="1">DATE(YEAR(TODAY())+0,8,0)</f>
        <v>45138</v>
      </c>
    </row>
    <row r="14" spans="3:7">
      <c r="G14" s="80">
        <f ca="1">DATE(YEAR(TODAY())+0,9,0)</f>
        <v>45169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15</vt:i4>
      </vt:variant>
    </vt:vector>
  </HeadingPairs>
  <TitlesOfParts>
    <vt:vector size="33" baseType="lpstr">
      <vt:lpstr>Pivot Produce</vt:lpstr>
      <vt:lpstr>Pivot Agents</vt:lpstr>
      <vt:lpstr>Pivot Totals</vt:lpstr>
      <vt:lpstr>Pivot Sale</vt:lpstr>
      <vt:lpstr>Inpute Data</vt:lpstr>
      <vt:lpstr>Sheet1</vt:lpstr>
      <vt:lpstr>commition</vt:lpstr>
      <vt:lpstr>Agents Contact </vt:lpstr>
      <vt:lpstr>Statment</vt:lpstr>
      <vt:lpstr>Sales Graph</vt:lpstr>
      <vt:lpstr>Produce Compared</vt:lpstr>
      <vt:lpstr>Agents All Time</vt:lpstr>
      <vt:lpstr>Agents 2020</vt:lpstr>
      <vt:lpstr>Agents Compared</vt:lpstr>
      <vt:lpstr>Weekly Update</vt:lpstr>
      <vt:lpstr>Monthly</vt:lpstr>
      <vt:lpstr>Yearly</vt:lpstr>
      <vt:lpstr>List</vt:lpstr>
      <vt:lpstr>Deduction</vt:lpstr>
      <vt:lpstr>Gross</vt:lpstr>
      <vt:lpstr>Gross_Profit</vt:lpstr>
      <vt:lpstr>'Inpute Data'!Print_Area</vt:lpstr>
      <vt:lpstr>'Sales Graph'!Print_Area</vt:lpstr>
      <vt:lpstr>Produce</vt:lpstr>
      <vt:lpstr>Qty_Delivered</vt:lpstr>
      <vt:lpstr>Qty_Destroyed</vt:lpstr>
      <vt:lpstr>Qty_Sold</vt:lpstr>
      <vt:lpstr>S_Month</vt:lpstr>
      <vt:lpstr>Starting_Month</vt:lpstr>
      <vt:lpstr>'Pivot Agents'!Table_Data</vt:lpstr>
      <vt:lpstr>'Pivot Sale'!Table_Data</vt:lpstr>
      <vt:lpstr>'Pivot Totals'!Table_Data</vt:lpstr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Nkosana Molefe</dc:creator>
  <cp:lastModifiedBy>nkosana molefe</cp:lastModifiedBy>
  <cp:lastPrinted>2021-01-19T10:43:22Z</cp:lastPrinted>
  <dcterms:created xsi:type="dcterms:W3CDTF">2020-12-09T09:02:50Z</dcterms:created>
  <dcterms:modified xsi:type="dcterms:W3CDTF">2023-06-16T18:46:26Z</dcterms:modified>
</cp:coreProperties>
</file>