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rm949/Desktop/Racha Majed/Cam Postdoc/Bacteriophage project/Results/Sectors different radii/"/>
    </mc:Choice>
  </mc:AlternateContent>
  <xr:revisionPtr revIDLastSave="0" documentId="13_ncr:1_{3B16B0FA-C1CB-3546-B413-83E1C7C06FCC}" xr6:coauthVersionLast="46" xr6:coauthVersionMax="46" xr10:uidLastSave="{00000000-0000-0000-0000-000000000000}"/>
  <bookViews>
    <workbookView xWindow="0" yWindow="460" windowWidth="38400" windowHeight="19820" activeTab="3" xr2:uid="{00000000-000D-0000-FFFF-FFFF00000000}"/>
  </bookViews>
  <sheets>
    <sheet name="1ul" sheetId="1" r:id="rId1"/>
    <sheet name="2ul" sheetId="2" r:id="rId2"/>
    <sheet name="4ul" sheetId="3" r:id="rId3"/>
    <sheet name="6ul" sheetId="4" r:id="rId4"/>
    <sheet name="Recap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2" i="4" l="1"/>
  <c r="Q23" i="4"/>
  <c r="Q24" i="4"/>
  <c r="Q25" i="4"/>
  <c r="Q21" i="4"/>
  <c r="P22" i="4"/>
  <c r="P23" i="4"/>
  <c r="P24" i="4"/>
  <c r="P25" i="4"/>
  <c r="P21" i="4"/>
  <c r="K22" i="4"/>
  <c r="K23" i="4"/>
  <c r="K24" i="4"/>
  <c r="K25" i="4"/>
  <c r="K21" i="4"/>
  <c r="F22" i="4"/>
  <c r="F23" i="4"/>
  <c r="F24" i="4"/>
  <c r="F25" i="4"/>
  <c r="F21" i="4"/>
  <c r="Q13" i="4"/>
  <c r="Q14" i="4"/>
  <c r="Q15" i="4"/>
  <c r="Q12" i="4"/>
  <c r="P12" i="4"/>
  <c r="P13" i="4"/>
  <c r="P14" i="4"/>
  <c r="P15" i="4"/>
  <c r="P11" i="4"/>
  <c r="K12" i="4"/>
  <c r="K13" i="4"/>
  <c r="K14" i="4"/>
  <c r="K15" i="4"/>
  <c r="K11" i="4"/>
  <c r="F12" i="4"/>
  <c r="F13" i="4"/>
  <c r="F14" i="4"/>
  <c r="F15" i="4"/>
  <c r="F11" i="4"/>
  <c r="Q4" i="4"/>
  <c r="Q5" i="4"/>
  <c r="Q6" i="4"/>
  <c r="Q7" i="4"/>
  <c r="Q3" i="4"/>
  <c r="P4" i="4"/>
  <c r="P5" i="4"/>
  <c r="P6" i="4"/>
  <c r="P7" i="4"/>
  <c r="P3" i="4"/>
  <c r="K4" i="4"/>
  <c r="K5" i="4"/>
  <c r="K6" i="4"/>
  <c r="K7" i="4"/>
  <c r="K3" i="4"/>
  <c r="F4" i="4"/>
  <c r="F5" i="4"/>
  <c r="F6" i="4"/>
  <c r="F7" i="4"/>
  <c r="F3" i="4"/>
  <c r="Q23" i="3"/>
  <c r="Q24" i="3"/>
  <c r="Q25" i="3"/>
  <c r="Q21" i="3"/>
  <c r="P12" i="3"/>
  <c r="P13" i="3"/>
  <c r="P14" i="3"/>
  <c r="P15" i="3"/>
  <c r="P11" i="3"/>
  <c r="K12" i="3"/>
  <c r="K13" i="3"/>
  <c r="K14" i="3"/>
  <c r="K15" i="3"/>
  <c r="K11" i="3"/>
  <c r="P24" i="3"/>
  <c r="P25" i="3"/>
  <c r="P23" i="3"/>
  <c r="K23" i="3"/>
  <c r="K24" i="3"/>
  <c r="K25" i="3"/>
  <c r="K21" i="3"/>
  <c r="F23" i="3"/>
  <c r="F24" i="3"/>
  <c r="F25" i="3"/>
  <c r="F21" i="3"/>
  <c r="F12" i="3"/>
  <c r="Q12" i="3" s="1"/>
  <c r="F13" i="3"/>
  <c r="Q13" i="3" s="1"/>
  <c r="F14" i="3"/>
  <c r="F15" i="3"/>
  <c r="Q15" i="3" s="1"/>
  <c r="F11" i="3"/>
  <c r="Q11" i="3" s="1"/>
  <c r="R3" i="2"/>
  <c r="Q22" i="2"/>
  <c r="P22" i="2"/>
  <c r="P23" i="2"/>
  <c r="P24" i="2"/>
  <c r="P25" i="2"/>
  <c r="P21" i="2"/>
  <c r="K22" i="2"/>
  <c r="K23" i="2"/>
  <c r="Q23" i="2" s="1"/>
  <c r="K24" i="2"/>
  <c r="K25" i="2"/>
  <c r="K21" i="2"/>
  <c r="F22" i="2"/>
  <c r="Q12" i="2"/>
  <c r="P12" i="2"/>
  <c r="P13" i="2"/>
  <c r="P14" i="2"/>
  <c r="P15" i="2"/>
  <c r="P11" i="2"/>
  <c r="K12" i="2"/>
  <c r="K13" i="2"/>
  <c r="K14" i="2"/>
  <c r="K15" i="2"/>
  <c r="K11" i="2"/>
  <c r="Q13" i="2"/>
  <c r="Q14" i="2"/>
  <c r="Q21" i="2"/>
  <c r="Q24" i="2"/>
  <c r="Q25" i="2"/>
  <c r="Q4" i="2"/>
  <c r="Q5" i="2"/>
  <c r="Q6" i="2"/>
  <c r="Q7" i="2"/>
  <c r="Q3" i="2"/>
  <c r="P4" i="2"/>
  <c r="P5" i="2"/>
  <c r="P6" i="2"/>
  <c r="P7" i="2"/>
  <c r="P3" i="2"/>
  <c r="K4" i="2"/>
  <c r="K5" i="2"/>
  <c r="K6" i="2"/>
  <c r="K7" i="2"/>
  <c r="K3" i="2"/>
  <c r="G3" i="2"/>
  <c r="F4" i="2"/>
  <c r="F5" i="2"/>
  <c r="F6" i="2"/>
  <c r="F7" i="2"/>
  <c r="F11" i="2"/>
  <c r="F12" i="2"/>
  <c r="F13" i="2"/>
  <c r="F14" i="2"/>
  <c r="F15" i="2"/>
  <c r="F21" i="2"/>
  <c r="F23" i="2"/>
  <c r="F24" i="2"/>
  <c r="F25" i="2"/>
  <c r="F3" i="2"/>
  <c r="P22" i="1"/>
  <c r="P23" i="1"/>
  <c r="P24" i="1"/>
  <c r="P25" i="1"/>
  <c r="P21" i="1"/>
  <c r="K22" i="1"/>
  <c r="K23" i="1"/>
  <c r="K24" i="1"/>
  <c r="Q24" i="1" s="1"/>
  <c r="K25" i="1"/>
  <c r="K21" i="1"/>
  <c r="F22" i="1"/>
  <c r="F23" i="1"/>
  <c r="F24" i="1"/>
  <c r="F25" i="1"/>
  <c r="F21" i="1"/>
  <c r="P12" i="1"/>
  <c r="P13" i="1"/>
  <c r="P14" i="1"/>
  <c r="P15" i="1"/>
  <c r="K12" i="1"/>
  <c r="K13" i="1"/>
  <c r="K14" i="1"/>
  <c r="K15" i="1"/>
  <c r="F12" i="1"/>
  <c r="F13" i="1"/>
  <c r="Q13" i="1" s="1"/>
  <c r="F14" i="1"/>
  <c r="Q14" i="1" s="1"/>
  <c r="F15" i="1"/>
  <c r="F11" i="1"/>
  <c r="P11" i="1"/>
  <c r="K11" i="1"/>
  <c r="B3" i="4"/>
  <c r="N3" i="1"/>
  <c r="O7" i="2"/>
  <c r="M7" i="2"/>
  <c r="N7" i="2"/>
  <c r="L7" i="2"/>
  <c r="J7" i="2"/>
  <c r="I7" i="2"/>
  <c r="H7" i="2"/>
  <c r="G7" i="2"/>
  <c r="E7" i="2"/>
  <c r="D7" i="2"/>
  <c r="C7" i="2"/>
  <c r="B7" i="2"/>
  <c r="N6" i="2"/>
  <c r="M6" i="2"/>
  <c r="L6" i="2"/>
  <c r="J6" i="2"/>
  <c r="I6" i="2"/>
  <c r="H6" i="2"/>
  <c r="G6" i="2"/>
  <c r="E6" i="2"/>
  <c r="D6" i="2"/>
  <c r="C6" i="2"/>
  <c r="B6" i="2"/>
  <c r="O6" i="2"/>
  <c r="N5" i="2"/>
  <c r="M5" i="2"/>
  <c r="L5" i="2"/>
  <c r="J5" i="2"/>
  <c r="I5" i="2"/>
  <c r="H5" i="2"/>
  <c r="G5" i="2"/>
  <c r="E5" i="2"/>
  <c r="D5" i="2"/>
  <c r="C5" i="2"/>
  <c r="B5" i="2"/>
  <c r="O5" i="2"/>
  <c r="O4" i="2"/>
  <c r="N4" i="2"/>
  <c r="M4" i="2"/>
  <c r="L4" i="2"/>
  <c r="J4" i="2"/>
  <c r="I4" i="2"/>
  <c r="H4" i="2"/>
  <c r="G4" i="2"/>
  <c r="E4" i="2"/>
  <c r="D4" i="2"/>
  <c r="C4" i="2"/>
  <c r="B4" i="2"/>
  <c r="O7" i="3"/>
  <c r="N7" i="3"/>
  <c r="M7" i="3"/>
  <c r="L7" i="3"/>
  <c r="J7" i="3"/>
  <c r="I7" i="3"/>
  <c r="H7" i="3"/>
  <c r="G7" i="3"/>
  <c r="E7" i="3"/>
  <c r="D7" i="3"/>
  <c r="B7" i="3"/>
  <c r="M6" i="3"/>
  <c r="L6" i="3"/>
  <c r="J6" i="3"/>
  <c r="I6" i="3"/>
  <c r="H6" i="3"/>
  <c r="G6" i="3"/>
  <c r="E6" i="3"/>
  <c r="N6" i="3"/>
  <c r="D6" i="3"/>
  <c r="O6" i="3"/>
  <c r="C7" i="3"/>
  <c r="C6" i="3"/>
  <c r="B6" i="3"/>
  <c r="O5" i="3"/>
  <c r="N5" i="3"/>
  <c r="M4" i="3"/>
  <c r="M5" i="3"/>
  <c r="L5" i="3"/>
  <c r="J5" i="3"/>
  <c r="I5" i="3"/>
  <c r="H5" i="3"/>
  <c r="G5" i="3"/>
  <c r="E5" i="3"/>
  <c r="D5" i="3"/>
  <c r="C5" i="3"/>
  <c r="B5" i="3"/>
  <c r="Q11" i="4" l="1"/>
  <c r="Q14" i="3"/>
  <c r="F5" i="3"/>
  <c r="K5" i="3"/>
  <c r="K6" i="3"/>
  <c r="P6" i="3" s="1"/>
  <c r="R6" i="3" s="1"/>
  <c r="F6" i="3"/>
  <c r="K7" i="3"/>
  <c r="F7" i="3"/>
  <c r="Q7" i="3" s="1"/>
  <c r="P21" i="3"/>
  <c r="P7" i="3"/>
  <c r="R7" i="3" s="1"/>
  <c r="P5" i="3"/>
  <c r="R5" i="3" s="1"/>
  <c r="Q15" i="2"/>
  <c r="Q11" i="2"/>
  <c r="Q25" i="1"/>
  <c r="Q23" i="1"/>
  <c r="R4" i="2"/>
  <c r="R5" i="2"/>
  <c r="R6" i="2"/>
  <c r="R7" i="2"/>
  <c r="Q22" i="1"/>
  <c r="Q11" i="1"/>
  <c r="Q15" i="1"/>
  <c r="Q21" i="1"/>
  <c r="Q12" i="1"/>
  <c r="O4" i="3"/>
  <c r="N4" i="3"/>
  <c r="I4" i="3"/>
  <c r="J4" i="3"/>
  <c r="L4" i="3"/>
  <c r="H4" i="3"/>
  <c r="G4" i="3"/>
  <c r="E4" i="3"/>
  <c r="D4" i="3"/>
  <c r="C4" i="3"/>
  <c r="B4" i="3"/>
  <c r="O3" i="3"/>
  <c r="N3" i="3"/>
  <c r="M3" i="3"/>
  <c r="L3" i="3"/>
  <c r="G3" i="3"/>
  <c r="H3" i="3"/>
  <c r="I3" i="3"/>
  <c r="J3" i="3"/>
  <c r="E3" i="3"/>
  <c r="D3" i="3"/>
  <c r="C3" i="3"/>
  <c r="B3" i="3"/>
  <c r="O3" i="2"/>
  <c r="N3" i="2"/>
  <c r="M3" i="2"/>
  <c r="L3" i="2"/>
  <c r="H3" i="2"/>
  <c r="I3" i="2"/>
  <c r="J3" i="2"/>
  <c r="E3" i="2"/>
  <c r="D3" i="2"/>
  <c r="C3" i="2"/>
  <c r="B3" i="2"/>
  <c r="O7" i="4"/>
  <c r="N7" i="4"/>
  <c r="M7" i="4"/>
  <c r="L7" i="4"/>
  <c r="J7" i="4"/>
  <c r="I7" i="4"/>
  <c r="H7" i="4"/>
  <c r="G7" i="4"/>
  <c r="E7" i="4"/>
  <c r="D7" i="4"/>
  <c r="C7" i="4"/>
  <c r="B7" i="4"/>
  <c r="O6" i="4"/>
  <c r="N6" i="4"/>
  <c r="M6" i="4"/>
  <c r="L6" i="4"/>
  <c r="J6" i="4"/>
  <c r="I6" i="4"/>
  <c r="H6" i="4"/>
  <c r="G6" i="4"/>
  <c r="E6" i="4"/>
  <c r="D6" i="4"/>
  <c r="C6" i="4"/>
  <c r="R7" i="4" l="1"/>
  <c r="K3" i="3"/>
  <c r="P3" i="3" s="1"/>
  <c r="R3" i="3" s="1"/>
  <c r="Q5" i="3"/>
  <c r="F3" i="3"/>
  <c r="F4" i="3"/>
  <c r="K4" i="3"/>
  <c r="P4" i="3" s="1"/>
  <c r="R4" i="3" s="1"/>
  <c r="Q6" i="3"/>
  <c r="B6" i="4"/>
  <c r="R6" i="4" s="1"/>
  <c r="O5" i="4"/>
  <c r="N5" i="4"/>
  <c r="M5" i="4"/>
  <c r="L5" i="4"/>
  <c r="J5" i="4"/>
  <c r="I5" i="4"/>
  <c r="H5" i="4"/>
  <c r="G5" i="4"/>
  <c r="E5" i="4"/>
  <c r="D5" i="4"/>
  <c r="C5" i="4"/>
  <c r="B5" i="4"/>
  <c r="R5" i="4" s="1"/>
  <c r="B4" i="4"/>
  <c r="C4" i="4"/>
  <c r="D4" i="4"/>
  <c r="E4" i="4"/>
  <c r="G4" i="4"/>
  <c r="H4" i="4"/>
  <c r="I4" i="4"/>
  <c r="J4" i="4"/>
  <c r="L4" i="4"/>
  <c r="M4" i="4"/>
  <c r="N4" i="4"/>
  <c r="O4" i="4"/>
  <c r="L3" i="4"/>
  <c r="M3" i="4"/>
  <c r="N3" i="4"/>
  <c r="O3" i="4"/>
  <c r="J3" i="4"/>
  <c r="I3" i="4"/>
  <c r="H3" i="4"/>
  <c r="G3" i="4"/>
  <c r="E3" i="4"/>
  <c r="D3" i="4"/>
  <c r="C3" i="4"/>
  <c r="O7" i="1"/>
  <c r="N7" i="1"/>
  <c r="M7" i="1"/>
  <c r="L7" i="1"/>
  <c r="J7" i="1"/>
  <c r="I7" i="1"/>
  <c r="H7" i="1"/>
  <c r="E7" i="1"/>
  <c r="D7" i="1"/>
  <c r="C7" i="1"/>
  <c r="B7" i="1"/>
  <c r="G7" i="1"/>
  <c r="B6" i="1"/>
  <c r="C6" i="1"/>
  <c r="D6" i="1"/>
  <c r="E6" i="1"/>
  <c r="G6" i="1"/>
  <c r="H6" i="1"/>
  <c r="I6" i="1"/>
  <c r="J6" i="1"/>
  <c r="L6" i="1"/>
  <c r="M6" i="1"/>
  <c r="N6" i="1"/>
  <c r="O6" i="1"/>
  <c r="O5" i="1"/>
  <c r="N5" i="1"/>
  <c r="M5" i="1"/>
  <c r="L5" i="1"/>
  <c r="J5" i="1"/>
  <c r="I5" i="1"/>
  <c r="H5" i="1"/>
  <c r="G5" i="1"/>
  <c r="E5" i="1"/>
  <c r="D5" i="1"/>
  <c r="C5" i="1"/>
  <c r="B5" i="1"/>
  <c r="N4" i="1"/>
  <c r="M4" i="1"/>
  <c r="L4" i="1"/>
  <c r="P4" i="1" s="1"/>
  <c r="J4" i="1"/>
  <c r="I4" i="1"/>
  <c r="H4" i="1"/>
  <c r="G4" i="1"/>
  <c r="E4" i="1"/>
  <c r="D4" i="1"/>
  <c r="O4" i="1"/>
  <c r="C4" i="1"/>
  <c r="B4" i="1"/>
  <c r="L3" i="1"/>
  <c r="M3" i="1"/>
  <c r="O3" i="1"/>
  <c r="J3" i="1"/>
  <c r="I3" i="1"/>
  <c r="H3" i="1"/>
  <c r="G3" i="1"/>
  <c r="E3" i="1"/>
  <c r="D3" i="1"/>
  <c r="C3" i="1"/>
  <c r="B3" i="1"/>
  <c r="R3" i="4" l="1"/>
  <c r="R4" i="4"/>
  <c r="Q4" i="3"/>
  <c r="Q3" i="3"/>
  <c r="K5" i="1"/>
  <c r="P5" i="1"/>
  <c r="K7" i="1"/>
  <c r="P7" i="1"/>
  <c r="K3" i="1"/>
  <c r="K4" i="1"/>
  <c r="P3" i="1"/>
  <c r="P6" i="1"/>
  <c r="K6" i="1"/>
  <c r="F3" i="1"/>
  <c r="F7" i="1"/>
  <c r="F4" i="1"/>
  <c r="F5" i="1"/>
  <c r="F6" i="1"/>
  <c r="Q7" i="1" l="1"/>
  <c r="R7" i="1" s="1"/>
  <c r="Q4" i="1"/>
  <c r="R4" i="1" s="1"/>
  <c r="Q3" i="1"/>
  <c r="R3" i="1" s="1"/>
  <c r="Q6" i="1"/>
  <c r="R6" i="1" s="1"/>
  <c r="Q5" i="1"/>
  <c r="R5" i="1" s="1"/>
</calcChain>
</file>

<file path=xl/sharedStrings.xml><?xml version="1.0" encoding="utf-8"?>
<sst xmlns="http://schemas.openxmlformats.org/spreadsheetml/2006/main" count="307" uniqueCount="22">
  <si>
    <t>Replicat biologique 1</t>
  </si>
  <si>
    <t>T1</t>
  </si>
  <si>
    <t>TR1</t>
  </si>
  <si>
    <t>TR2</t>
  </si>
  <si>
    <t>TR3</t>
  </si>
  <si>
    <t>TR4</t>
  </si>
  <si>
    <t>T0</t>
  </si>
  <si>
    <t>T2</t>
  </si>
  <si>
    <t>Nb of sectors</t>
  </si>
  <si>
    <t>Replicat biologique 2</t>
  </si>
  <si>
    <t>Replicat biologique 3</t>
  </si>
  <si>
    <t>T3</t>
  </si>
  <si>
    <t>T4</t>
  </si>
  <si>
    <t>Radius um</t>
  </si>
  <si>
    <t>Mean</t>
  </si>
  <si>
    <t>Mean mm</t>
  </si>
  <si>
    <t>Radius mm</t>
  </si>
  <si>
    <t>Initial Radius</t>
  </si>
  <si>
    <t>Sectors Initial</t>
  </si>
  <si>
    <t>Sectors Final</t>
  </si>
  <si>
    <t>Mean General</t>
  </si>
  <si>
    <t>Mean Generale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</si>
</sst>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mEYFP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xVal>
            <c:numRef>
              <c:f>'1ul'!$R$3:$R$7</c:f>
              <c:numCache>
                <c:formatCode>0.00</c:formatCode>
                <c:ptCount val="5"/>
                <c:pt idx="0">
                  <c:v>1.8791666666666667</c:v>
                </c:pt>
                <c:pt idx="1">
                  <c:v>2.9061249999999998</c:v>
                </c:pt>
                <c:pt idx="2">
                  <c:v>3.4564166666666667</c:v>
                </c:pt>
                <c:pt idx="3">
                  <c:v>4.3254166666666674</c:v>
                </c:pt>
                <c:pt idx="4">
                  <c:v>4.6930416666666668</c:v>
                </c:pt>
              </c:numCache>
            </c:numRef>
          </c:xVal>
          <c:yVal>
            <c:numRef>
              <c:f>'1ul'!$Q$11:$Q$15</c:f>
              <c:numCache>
                <c:formatCode>General</c:formatCode>
                <c:ptCount val="5"/>
                <c:pt idx="0">
                  <c:v>0</c:v>
                </c:pt>
                <c:pt idx="1">
                  <c:v>6.333333333333333</c:v>
                </c:pt>
                <c:pt idx="2">
                  <c:v>5.583333333333333</c:v>
                </c:pt>
                <c:pt idx="3">
                  <c:v>5.416666666666667</c:v>
                </c:pt>
                <c:pt idx="4">
                  <c:v>4.25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E0-A846-A99E-AA3AAEC6C2D6}"/>
            </c:ext>
          </c:extLst>
        </c:ser>
        <c:ser>
          <c:idx val="1"/>
          <c:order val="1"/>
          <c:tx>
            <c:v>mCherry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'1ul'!$R$3:$R$7</c:f>
              <c:numCache>
                <c:formatCode>0.00</c:formatCode>
                <c:ptCount val="5"/>
                <c:pt idx="0">
                  <c:v>1.8791666666666667</c:v>
                </c:pt>
                <c:pt idx="1">
                  <c:v>2.9061249999999998</c:v>
                </c:pt>
                <c:pt idx="2">
                  <c:v>3.4564166666666667</c:v>
                </c:pt>
                <c:pt idx="3">
                  <c:v>4.3254166666666674</c:v>
                </c:pt>
                <c:pt idx="4">
                  <c:v>4.6930416666666668</c:v>
                </c:pt>
              </c:numCache>
            </c:numRef>
          </c:xVal>
          <c:yVal>
            <c:numRef>
              <c:f>'1ul'!$Q$21:$Q$25</c:f>
              <c:numCache>
                <c:formatCode>General</c:formatCode>
                <c:ptCount val="5"/>
                <c:pt idx="0">
                  <c:v>0</c:v>
                </c:pt>
                <c:pt idx="1">
                  <c:v>5.5</c:v>
                </c:pt>
                <c:pt idx="2">
                  <c:v>5.333333333333333</c:v>
                </c:pt>
                <c:pt idx="3">
                  <c:v>5.416666666666667</c:v>
                </c:pt>
                <c:pt idx="4">
                  <c:v>4.25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E0-A846-A99E-AA3AAEC6C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3212127"/>
        <c:axId val="1923559023"/>
      </c:scatterChart>
      <c:valAx>
        <c:axId val="1923212127"/>
        <c:scaling>
          <c:orientation val="minMax"/>
          <c:min val="1.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Radius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559023"/>
        <c:crosses val="autoZero"/>
        <c:crossBetween val="midCat"/>
      </c:valAx>
      <c:valAx>
        <c:axId val="19235590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Nb of sectors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212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mEYFP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xVal>
            <c:numRef>
              <c:f>'2ul'!$R$3:$R$7</c:f>
              <c:numCache>
                <c:formatCode>0.00</c:formatCode>
                <c:ptCount val="5"/>
                <c:pt idx="0">
                  <c:v>2.2587916666666663</c:v>
                </c:pt>
                <c:pt idx="1">
                  <c:v>3.1021666666666663</c:v>
                </c:pt>
                <c:pt idx="2">
                  <c:v>3.7520416666666665</c:v>
                </c:pt>
                <c:pt idx="3">
                  <c:v>4.3491666666666671</c:v>
                </c:pt>
                <c:pt idx="4">
                  <c:v>5.0177500000000004</c:v>
                </c:pt>
              </c:numCache>
            </c:numRef>
          </c:xVal>
          <c:yVal>
            <c:numRef>
              <c:f>'2ul'!$Q$11:$Q$15</c:f>
              <c:numCache>
                <c:formatCode>General</c:formatCode>
                <c:ptCount val="5"/>
                <c:pt idx="0">
                  <c:v>0</c:v>
                </c:pt>
                <c:pt idx="1">
                  <c:v>6.666666666666667</c:v>
                </c:pt>
                <c:pt idx="2">
                  <c:v>5.166666666666667</c:v>
                </c:pt>
                <c:pt idx="3">
                  <c:v>5.166666666666667</c:v>
                </c:pt>
                <c:pt idx="4">
                  <c:v>3.8333333333333335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20-AC4A-B483-524E16172862}"/>
            </c:ext>
          </c:extLst>
        </c:ser>
        <c:ser>
          <c:idx val="1"/>
          <c:order val="1"/>
          <c:tx>
            <c:v>mCherry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'2ul'!$R$3:$R$7</c:f>
              <c:numCache>
                <c:formatCode>0.00</c:formatCode>
                <c:ptCount val="5"/>
                <c:pt idx="0">
                  <c:v>2.2587916666666663</c:v>
                </c:pt>
                <c:pt idx="1">
                  <c:v>3.1021666666666663</c:v>
                </c:pt>
                <c:pt idx="2">
                  <c:v>3.7520416666666665</c:v>
                </c:pt>
                <c:pt idx="3">
                  <c:v>4.3491666666666671</c:v>
                </c:pt>
                <c:pt idx="4">
                  <c:v>5.0177500000000004</c:v>
                </c:pt>
              </c:numCache>
            </c:numRef>
          </c:xVal>
          <c:yVal>
            <c:numRef>
              <c:f>'2ul'!$Q$21:$Q$25</c:f>
              <c:numCache>
                <c:formatCode>General</c:formatCode>
                <c:ptCount val="5"/>
                <c:pt idx="0">
                  <c:v>0</c:v>
                </c:pt>
                <c:pt idx="1">
                  <c:v>6.833333333333333</c:v>
                </c:pt>
                <c:pt idx="2">
                  <c:v>5.25</c:v>
                </c:pt>
                <c:pt idx="3">
                  <c:v>5</c:v>
                </c:pt>
                <c:pt idx="4">
                  <c:v>3.75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20-AC4A-B483-524E16172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417807"/>
        <c:axId val="1925505167"/>
      </c:scatterChart>
      <c:valAx>
        <c:axId val="1925417807"/>
        <c:scaling>
          <c:orientation val="minMax"/>
          <c:min val="2.200000000000000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Radius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05167"/>
        <c:crosses val="autoZero"/>
        <c:crossBetween val="midCat"/>
      </c:valAx>
      <c:valAx>
        <c:axId val="19255051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Nb of sectors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417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mEYFP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xVal>
            <c:numRef>
              <c:f>'4ul'!$R$3:$R$7</c:f>
              <c:numCache>
                <c:formatCode>0.00</c:formatCode>
                <c:ptCount val="5"/>
                <c:pt idx="0">
                  <c:v>2.8989910714285716</c:v>
                </c:pt>
                <c:pt idx="1">
                  <c:v>3.594125</c:v>
                </c:pt>
                <c:pt idx="2">
                  <c:v>4.183455357142857</c:v>
                </c:pt>
                <c:pt idx="3">
                  <c:v>4.7117321428571435</c:v>
                </c:pt>
                <c:pt idx="4">
                  <c:v>5.2155624999999999</c:v>
                </c:pt>
              </c:numCache>
            </c:numRef>
          </c:xVal>
          <c:yVal>
            <c:numRef>
              <c:f>'4ul'!$P$11:$P$15</c:f>
              <c:numCache>
                <c:formatCode>General</c:formatCode>
                <c:ptCount val="5"/>
                <c:pt idx="0">
                  <c:v>0</c:v>
                </c:pt>
                <c:pt idx="1">
                  <c:v>8.75</c:v>
                </c:pt>
                <c:pt idx="2">
                  <c:v>8</c:v>
                </c:pt>
                <c:pt idx="3">
                  <c:v>8</c:v>
                </c:pt>
                <c:pt idx="4">
                  <c:v>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99-E740-A876-42E3E454E3AF}"/>
            </c:ext>
          </c:extLst>
        </c:ser>
        <c:ser>
          <c:idx val="1"/>
          <c:order val="1"/>
          <c:tx>
            <c:v>mCherry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'4ul'!$R$3:$R$7</c:f>
              <c:numCache>
                <c:formatCode>0.00</c:formatCode>
                <c:ptCount val="5"/>
                <c:pt idx="0">
                  <c:v>2.8989910714285716</c:v>
                </c:pt>
                <c:pt idx="1">
                  <c:v>3.594125</c:v>
                </c:pt>
                <c:pt idx="2">
                  <c:v>4.183455357142857</c:v>
                </c:pt>
                <c:pt idx="3">
                  <c:v>4.7117321428571435</c:v>
                </c:pt>
                <c:pt idx="4">
                  <c:v>5.2155624999999999</c:v>
                </c:pt>
              </c:numCache>
            </c:numRef>
          </c:xVal>
          <c:yVal>
            <c:numRef>
              <c:f>'4ul'!$P$21:$P$25</c:f>
              <c:numCache>
                <c:formatCode>General</c:formatCode>
                <c:ptCount val="5"/>
                <c:pt idx="0">
                  <c:v>0</c:v>
                </c:pt>
                <c:pt idx="2">
                  <c:v>7.5</c:v>
                </c:pt>
                <c:pt idx="3">
                  <c:v>7.25</c:v>
                </c:pt>
                <c:pt idx="4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99-E740-A876-42E3E454E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344959"/>
        <c:axId val="1719932175"/>
      </c:scatterChart>
      <c:valAx>
        <c:axId val="1721344959"/>
        <c:scaling>
          <c:orientation val="minMax"/>
          <c:min val="2.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Radius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932175"/>
        <c:crosses val="autoZero"/>
        <c:crossBetween val="midCat"/>
      </c:valAx>
      <c:valAx>
        <c:axId val="17199321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Nb</a:t>
                </a:r>
                <a:r>
                  <a:rPr lang="en-GB" baseline="0"/>
                  <a:t> of sectors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344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mEYFP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xVal>
            <c:numRef>
              <c:f>'6ul'!$R$3:$R$7</c:f>
              <c:numCache>
                <c:formatCode>0.00</c:formatCode>
                <c:ptCount val="5"/>
                <c:pt idx="0">
                  <c:v>3.3993333333333333</c:v>
                </c:pt>
                <c:pt idx="1">
                  <c:v>4.2919999999999998</c:v>
                </c:pt>
                <c:pt idx="2">
                  <c:v>4.8209166666666672</c:v>
                </c:pt>
                <c:pt idx="3">
                  <c:v>5.6388333333333334</c:v>
                </c:pt>
                <c:pt idx="4">
                  <c:v>5.988666666666667</c:v>
                </c:pt>
              </c:numCache>
            </c:numRef>
          </c:xVal>
          <c:yVal>
            <c:numRef>
              <c:f>'6ul'!$Q$11:$Q$15</c:f>
              <c:numCache>
                <c:formatCode>General</c:formatCode>
                <c:ptCount val="5"/>
                <c:pt idx="0">
                  <c:v>0</c:v>
                </c:pt>
                <c:pt idx="1">
                  <c:v>10.833333333333334</c:v>
                </c:pt>
                <c:pt idx="2">
                  <c:v>7.083333333333333</c:v>
                </c:pt>
                <c:pt idx="3">
                  <c:v>8.3333333333333339</c:v>
                </c:pt>
                <c:pt idx="4">
                  <c:v>7.166666666666667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1A-D844-822D-06CC181F9873}"/>
            </c:ext>
          </c:extLst>
        </c:ser>
        <c:ser>
          <c:idx val="1"/>
          <c:order val="1"/>
          <c:tx>
            <c:v>mCherry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'6ul'!$R$3:$R$7</c:f>
              <c:numCache>
                <c:formatCode>0.00</c:formatCode>
                <c:ptCount val="5"/>
                <c:pt idx="0">
                  <c:v>3.3993333333333333</c:v>
                </c:pt>
                <c:pt idx="1">
                  <c:v>4.2919999999999998</c:v>
                </c:pt>
                <c:pt idx="2">
                  <c:v>4.8209166666666672</c:v>
                </c:pt>
                <c:pt idx="3">
                  <c:v>5.6388333333333334</c:v>
                </c:pt>
                <c:pt idx="4">
                  <c:v>5.988666666666667</c:v>
                </c:pt>
              </c:numCache>
            </c:numRef>
          </c:xVal>
          <c:yVal>
            <c:numRef>
              <c:f>'6ul'!$Q$21:$Q$25</c:f>
              <c:numCache>
                <c:formatCode>General</c:formatCode>
                <c:ptCount val="5"/>
                <c:pt idx="0">
                  <c:v>0</c:v>
                </c:pt>
                <c:pt idx="1">
                  <c:v>9.8333333333333339</c:v>
                </c:pt>
                <c:pt idx="2">
                  <c:v>6.833333333333333</c:v>
                </c:pt>
                <c:pt idx="3">
                  <c:v>8.75</c:v>
                </c:pt>
                <c:pt idx="4">
                  <c:v>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1A-D844-822D-06CC181F9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0779119"/>
        <c:axId val="1720322879"/>
      </c:scatterChart>
      <c:valAx>
        <c:axId val="1710779119"/>
        <c:scaling>
          <c:orientation val="minMax"/>
          <c:max val="6"/>
          <c:min val="3.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Radius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322879"/>
        <c:crosses val="autoZero"/>
        <c:crossBetween val="midCat"/>
      </c:valAx>
      <c:valAx>
        <c:axId val="17203228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Nb</a:t>
                </a:r>
                <a:r>
                  <a:rPr lang="en-GB" baseline="0"/>
                  <a:t> of sectors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779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Initial nb</a:t>
            </a:r>
            <a:r>
              <a:rPr lang="en-GB" baseline="0"/>
              <a:t> of sectors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Recap!$A$2:$A$5</c:f>
              <c:numCache>
                <c:formatCode>0.00</c:formatCode>
                <c:ptCount val="4"/>
                <c:pt idx="0">
                  <c:v>1.8791666666666667</c:v>
                </c:pt>
                <c:pt idx="1">
                  <c:v>2.2587916666666663</c:v>
                </c:pt>
                <c:pt idx="2">
                  <c:v>2.8972916666666664</c:v>
                </c:pt>
                <c:pt idx="3">
                  <c:v>3.3993333333333333</c:v>
                </c:pt>
              </c:numCache>
            </c:numRef>
          </c:xVal>
          <c:yVal>
            <c:numRef>
              <c:f>Recap!$B$2:$B$5</c:f>
              <c:numCache>
                <c:formatCode>0.00</c:formatCode>
                <c:ptCount val="4"/>
                <c:pt idx="0">
                  <c:v>6.333333333333333</c:v>
                </c:pt>
                <c:pt idx="1">
                  <c:v>6.666666666666667</c:v>
                </c:pt>
                <c:pt idx="2">
                  <c:v>8.5</c:v>
                </c:pt>
                <c:pt idx="3">
                  <c:v>10.909090909090908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89-0A47-A1B6-E65F8DFF0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2433791"/>
        <c:axId val="1633246719"/>
      </c:scatterChart>
      <c:valAx>
        <c:axId val="1702433791"/>
        <c:scaling>
          <c:orientation val="minMax"/>
          <c:min val="1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Initial</a:t>
                </a:r>
                <a:r>
                  <a:rPr lang="en-GB" baseline="0"/>
                  <a:t> Radius mm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246719"/>
        <c:crosses val="autoZero"/>
        <c:crossBetween val="midCat"/>
      </c:valAx>
      <c:valAx>
        <c:axId val="16332467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Nb of sectors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433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Final</a:t>
            </a:r>
            <a:r>
              <a:rPr lang="en-GB" baseline="0"/>
              <a:t> nb of sectors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Recap!$A$2:$A$5</c:f>
              <c:numCache>
                <c:formatCode>0.00</c:formatCode>
                <c:ptCount val="4"/>
                <c:pt idx="0">
                  <c:v>1.8791666666666667</c:v>
                </c:pt>
                <c:pt idx="1">
                  <c:v>2.2587916666666663</c:v>
                </c:pt>
                <c:pt idx="2">
                  <c:v>2.8972916666666664</c:v>
                </c:pt>
                <c:pt idx="3">
                  <c:v>3.3993333333333333</c:v>
                </c:pt>
              </c:numCache>
            </c:numRef>
          </c:xVal>
          <c:yVal>
            <c:numRef>
              <c:f>Recap!$C$2:$C$5</c:f>
              <c:numCache>
                <c:formatCode>0.00</c:formatCode>
                <c:ptCount val="4"/>
                <c:pt idx="0">
                  <c:v>4.25</c:v>
                </c:pt>
                <c:pt idx="1">
                  <c:v>3.8333333333333335</c:v>
                </c:pt>
                <c:pt idx="2">
                  <c:v>6</c:v>
                </c:pt>
                <c:pt idx="3">
                  <c:v>7.2727272727272725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3-BE46-979A-1EA927E2F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445871"/>
        <c:axId val="1708424767"/>
      </c:scatterChart>
      <c:valAx>
        <c:axId val="1708445871"/>
        <c:scaling>
          <c:orientation val="minMax"/>
          <c:min val="1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Initial</a:t>
                </a:r>
                <a:r>
                  <a:rPr lang="en-GB" baseline="0"/>
                  <a:t> Radius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424767"/>
        <c:crosses val="autoZero"/>
        <c:crossBetween val="midCat"/>
      </c:valAx>
      <c:valAx>
        <c:axId val="17084247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Nb of</a:t>
                </a:r>
                <a:r>
                  <a:rPr lang="en-GB" baseline="0"/>
                  <a:t> sectors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445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88900</xdr:colOff>
      <xdr:row>3</xdr:row>
      <xdr:rowOff>38100</xdr:rowOff>
    </xdr:from>
    <xdr:to>
      <xdr:col>25</xdr:col>
      <xdr:colOff>469900</xdr:colOff>
      <xdr:row>15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CC7413-EBC1-C541-80FA-761C900A56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292100</xdr:colOff>
      <xdr:row>3</xdr:row>
      <xdr:rowOff>114300</xdr:rowOff>
    </xdr:from>
    <xdr:to>
      <xdr:col>24</xdr:col>
      <xdr:colOff>673100</xdr:colOff>
      <xdr:row>15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6EF254-CBA6-554F-BAE9-0EF71D815A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800100</xdr:colOff>
      <xdr:row>11</xdr:row>
      <xdr:rowOff>50800</xdr:rowOff>
    </xdr:from>
    <xdr:to>
      <xdr:col>22</xdr:col>
      <xdr:colOff>660400</xdr:colOff>
      <xdr:row>23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7210172-2B50-A743-8FD6-A5A56BC3BA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203200</xdr:colOff>
      <xdr:row>4</xdr:row>
      <xdr:rowOff>177800</xdr:rowOff>
    </xdr:from>
    <xdr:to>
      <xdr:col>26</xdr:col>
      <xdr:colOff>393700</xdr:colOff>
      <xdr:row>18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E9D9FB-A46E-1C46-88C5-8C60657C52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158750</xdr:colOff>
      <xdr:row>9</xdr:row>
      <xdr:rowOff>88900</xdr:rowOff>
    </xdr:from>
    <xdr:to>
      <xdr:col>4</xdr:col>
      <xdr:colOff>260350</xdr:colOff>
      <xdr:row>23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D3C968-461E-CE49-9FD0-DBDE4A95D3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647700</xdr:colOff>
      <xdr:row>9</xdr:row>
      <xdr:rowOff>12700</xdr:rowOff>
    </xdr:from>
    <xdr:to>
      <xdr:col>11</xdr:col>
      <xdr:colOff>266700</xdr:colOff>
      <xdr:row>23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4139E7-5E36-FF49-9C33-3B9C45DE8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workbookViewId="0">
      <selection activeCell="P1" sqref="P1:P1048576"/>
    </sheetView>
  </sheetViews>
  <sheetFormatPr baseColWidth="10" defaultColWidth="9.1640625" defaultRowHeight="18" x14ac:dyDescent="0.2"/>
  <cols>
    <col min="1" max="1" width="22.33203125" style="5" customWidth="1"/>
    <col min="2" max="5" width="9.1640625" style="5"/>
    <col min="6" max="6" width="9.1640625" style="8"/>
    <col min="7" max="10" width="9.1640625" style="5"/>
    <col min="11" max="11" width="9.1640625" style="8"/>
    <col min="12" max="15" width="9.1640625" style="5"/>
    <col min="16" max="16" width="9.1640625" style="8"/>
    <col min="17" max="17" width="25" style="5" customWidth="1"/>
    <col min="18" max="18" width="18.5" style="5" customWidth="1"/>
    <col min="19" max="16384" width="9.1640625" style="5"/>
  </cols>
  <sheetData>
    <row r="1" spans="1:18" ht="20" x14ac:dyDescent="0.2">
      <c r="A1" s="1" t="s">
        <v>13</v>
      </c>
      <c r="B1" s="10" t="s">
        <v>0</v>
      </c>
      <c r="C1" s="10"/>
      <c r="D1" s="10"/>
      <c r="E1" s="10"/>
      <c r="G1" s="10" t="s">
        <v>9</v>
      </c>
      <c r="H1" s="10"/>
      <c r="I1" s="10"/>
      <c r="J1" s="10"/>
      <c r="L1" s="10" t="s">
        <v>10</v>
      </c>
      <c r="M1" s="10"/>
      <c r="N1" s="10"/>
      <c r="O1" s="10"/>
    </row>
    <row r="2" spans="1:18" x14ac:dyDescent="0.2">
      <c r="B2" s="5" t="s">
        <v>2</v>
      </c>
      <c r="C2" s="5" t="s">
        <v>3</v>
      </c>
      <c r="D2" s="5" t="s">
        <v>4</v>
      </c>
      <c r="E2" s="5" t="s">
        <v>5</v>
      </c>
      <c r="F2" s="8" t="s">
        <v>14</v>
      </c>
      <c r="G2" s="5" t="s">
        <v>2</v>
      </c>
      <c r="H2" s="5" t="s">
        <v>3</v>
      </c>
      <c r="I2" s="5" t="s">
        <v>4</v>
      </c>
      <c r="J2" s="5" t="s">
        <v>5</v>
      </c>
      <c r="K2" s="8" t="s">
        <v>14</v>
      </c>
      <c r="L2" s="5" t="s">
        <v>2</v>
      </c>
      <c r="M2" s="5" t="s">
        <v>3</v>
      </c>
      <c r="N2" s="5" t="s">
        <v>4</v>
      </c>
      <c r="O2" s="5" t="s">
        <v>5</v>
      </c>
      <c r="P2" s="8" t="s">
        <v>14</v>
      </c>
      <c r="Q2" s="5" t="s">
        <v>20</v>
      </c>
      <c r="R2" s="5" t="s">
        <v>16</v>
      </c>
    </row>
    <row r="3" spans="1:18" x14ac:dyDescent="0.2">
      <c r="A3" s="5" t="s">
        <v>6</v>
      </c>
      <c r="B3" s="5">
        <f>3603/2</f>
        <v>1801.5</v>
      </c>
      <c r="C3" s="5">
        <f>3795/2</f>
        <v>1897.5</v>
      </c>
      <c r="D3" s="5">
        <f>3453/2</f>
        <v>1726.5</v>
      </c>
      <c r="E3" s="5">
        <f>3755/2</f>
        <v>1877.5</v>
      </c>
      <c r="F3" s="8">
        <f>AVERAGE(B3:E3)</f>
        <v>1825.75</v>
      </c>
      <c r="G3" s="5">
        <f>3443/2</f>
        <v>1721.5</v>
      </c>
      <c r="H3" s="5">
        <f>3830/2</f>
        <v>1915</v>
      </c>
      <c r="I3" s="5">
        <f>3989/2</f>
        <v>1994.5</v>
      </c>
      <c r="J3" s="5">
        <f>4063/2</f>
        <v>2031.5</v>
      </c>
      <c r="K3" s="8">
        <f>AVERAGE(G3:J3)</f>
        <v>1915.625</v>
      </c>
      <c r="L3" s="5">
        <f>3478/2</f>
        <v>1739</v>
      </c>
      <c r="M3" s="5">
        <f>3974/2</f>
        <v>1987</v>
      </c>
      <c r="N3" s="5">
        <f>4150/2</f>
        <v>2075</v>
      </c>
      <c r="O3" s="5">
        <f>3567/2</f>
        <v>1783.5</v>
      </c>
      <c r="P3" s="8">
        <f>AVERAGE(L3:O3)</f>
        <v>1896.125</v>
      </c>
      <c r="Q3" s="5">
        <f>AVERAGE(F3,K3,P3)</f>
        <v>1879.1666666666667</v>
      </c>
      <c r="R3" s="12">
        <f>(Q3)/1000</f>
        <v>1.8791666666666667</v>
      </c>
    </row>
    <row r="4" spans="1:18" x14ac:dyDescent="0.2">
      <c r="A4" s="5" t="s">
        <v>1</v>
      </c>
      <c r="B4" s="5">
        <f>5400/2</f>
        <v>2700</v>
      </c>
      <c r="C4" s="5">
        <f>5817/2</f>
        <v>2908.5</v>
      </c>
      <c r="D4" s="5">
        <f>5482/2</f>
        <v>2741</v>
      </c>
      <c r="E4" s="5">
        <f>5827/2</f>
        <v>2913.5</v>
      </c>
      <c r="F4" s="8">
        <f t="shared" ref="F4:F7" si="0">AVERAGE(B4:E4)</f>
        <v>2815.75</v>
      </c>
      <c r="G4" s="5">
        <f>5386/2</f>
        <v>2693</v>
      </c>
      <c r="H4" s="5">
        <f>5776/2</f>
        <v>2888</v>
      </c>
      <c r="I4" s="5">
        <f>5886/2</f>
        <v>2943</v>
      </c>
      <c r="J4" s="5">
        <f>6304/2</f>
        <v>3152</v>
      </c>
      <c r="K4" s="8">
        <f t="shared" ref="K4:K7" si="1">AVERAGE(G4:J4)</f>
        <v>2919</v>
      </c>
      <c r="L4" s="5">
        <f>5305/2</f>
        <v>2652.5</v>
      </c>
      <c r="M4" s="5">
        <f>6229/2</f>
        <v>3114.5</v>
      </c>
      <c r="N4" s="5">
        <f>6335/2</f>
        <v>3167.5</v>
      </c>
      <c r="O4" s="5">
        <f>6000/2</f>
        <v>3000</v>
      </c>
      <c r="P4" s="8">
        <f>AVERAGE(L4:O4)</f>
        <v>2983.625</v>
      </c>
      <c r="Q4" s="8">
        <f>AVERAGE(F4,K4,P4)</f>
        <v>2906.125</v>
      </c>
      <c r="R4" s="12">
        <f t="shared" ref="R4:R7" si="2">(Q4)/1000</f>
        <v>2.9061249999999998</v>
      </c>
    </row>
    <row r="5" spans="1:18" x14ac:dyDescent="0.2">
      <c r="A5" s="5" t="s">
        <v>7</v>
      </c>
      <c r="B5" s="5">
        <f>6560/2</f>
        <v>3280</v>
      </c>
      <c r="C5" s="5">
        <f>6839/2</f>
        <v>3419.5</v>
      </c>
      <c r="D5" s="5">
        <f>6541/2</f>
        <v>3270.5</v>
      </c>
      <c r="E5" s="5">
        <f>6657/2</f>
        <v>3328.5</v>
      </c>
      <c r="F5" s="8">
        <f t="shared" si="0"/>
        <v>3324.625</v>
      </c>
      <c r="G5" s="5">
        <f>6339/2</f>
        <v>3169.5</v>
      </c>
      <c r="H5" s="5">
        <f>6896/2</f>
        <v>3448</v>
      </c>
      <c r="I5" s="5">
        <f>7145/2</f>
        <v>3572.5</v>
      </c>
      <c r="J5" s="5">
        <f>7886/2</f>
        <v>3943</v>
      </c>
      <c r="K5" s="8">
        <f t="shared" si="1"/>
        <v>3533.25</v>
      </c>
      <c r="L5" s="5">
        <f>6188/2</f>
        <v>3094</v>
      </c>
      <c r="M5" s="5">
        <f>7038/2</f>
        <v>3519</v>
      </c>
      <c r="N5" s="5">
        <f>7411/2</f>
        <v>3705.5</v>
      </c>
      <c r="O5" s="5">
        <f>7454/2</f>
        <v>3727</v>
      </c>
      <c r="P5" s="8">
        <f>AVERAGE(L5:O5)</f>
        <v>3511.375</v>
      </c>
      <c r="Q5" s="8">
        <f>AVERAGE(F5,K5,P5)</f>
        <v>3456.4166666666665</v>
      </c>
      <c r="R5" s="12">
        <f t="shared" si="2"/>
        <v>3.4564166666666667</v>
      </c>
    </row>
    <row r="6" spans="1:18" x14ac:dyDescent="0.2">
      <c r="A6" s="5" t="s">
        <v>11</v>
      </c>
      <c r="B6" s="5">
        <f>8245/2</f>
        <v>4122.5</v>
      </c>
      <c r="C6" s="5">
        <f>8578/2</f>
        <v>4289</v>
      </c>
      <c r="D6" s="5">
        <f>8430/2</f>
        <v>4215</v>
      </c>
      <c r="E6" s="5">
        <f>8455/2</f>
        <v>4227.5</v>
      </c>
      <c r="F6" s="8">
        <f t="shared" si="0"/>
        <v>4213.5</v>
      </c>
      <c r="G6" s="5">
        <f>8309/2</f>
        <v>4154.5</v>
      </c>
      <c r="H6" s="5">
        <f>8412/2</f>
        <v>4206</v>
      </c>
      <c r="I6" s="5">
        <f>8666/2</f>
        <v>4333</v>
      </c>
      <c r="J6" s="5">
        <f>9333/2</f>
        <v>4666.5</v>
      </c>
      <c r="K6" s="8">
        <f t="shared" si="1"/>
        <v>4340</v>
      </c>
      <c r="L6" s="5">
        <f>8062/2</f>
        <v>4031</v>
      </c>
      <c r="M6" s="5">
        <f>8902/2</f>
        <v>4451</v>
      </c>
      <c r="N6" s="5">
        <f>9038/2</f>
        <v>4519</v>
      </c>
      <c r="O6" s="5">
        <f>9380/2</f>
        <v>4690</v>
      </c>
      <c r="P6" s="8">
        <f>AVERAGE(L6:O6)</f>
        <v>4422.75</v>
      </c>
      <c r="Q6" s="8">
        <f>AVERAGE(F6,K6,P6)</f>
        <v>4325.416666666667</v>
      </c>
      <c r="R6" s="12">
        <f t="shared" si="2"/>
        <v>4.3254166666666674</v>
      </c>
    </row>
    <row r="7" spans="1:18" x14ac:dyDescent="0.2">
      <c r="A7" s="5" t="s">
        <v>12</v>
      </c>
      <c r="B7" s="5">
        <f>9187/2</f>
        <v>4593.5</v>
      </c>
      <c r="C7" s="5">
        <f>9076/2</f>
        <v>4538</v>
      </c>
      <c r="D7" s="5">
        <f>9094/2</f>
        <v>4547</v>
      </c>
      <c r="E7" s="5">
        <f>9000/2</f>
        <v>4500</v>
      </c>
      <c r="F7" s="8">
        <f t="shared" si="0"/>
        <v>4544.625</v>
      </c>
      <c r="G7" s="5">
        <f>9102/2</f>
        <v>4551</v>
      </c>
      <c r="H7" s="5">
        <f>9230/2</f>
        <v>4615</v>
      </c>
      <c r="I7" s="5">
        <f>9375/2</f>
        <v>4687.5</v>
      </c>
      <c r="J7" s="5">
        <f>10373/2</f>
        <v>5186.5</v>
      </c>
      <c r="K7" s="8">
        <f t="shared" si="1"/>
        <v>4760</v>
      </c>
      <c r="L7" s="5">
        <f>8647/2</f>
        <v>4323.5</v>
      </c>
      <c r="M7" s="5">
        <f>9720/2</f>
        <v>4860</v>
      </c>
      <c r="N7" s="5">
        <f>9632/2</f>
        <v>4816</v>
      </c>
      <c r="O7" s="5">
        <f>10197/2</f>
        <v>5098.5</v>
      </c>
      <c r="P7" s="8">
        <f>AVERAGE(L7:O7)</f>
        <v>4774.5</v>
      </c>
      <c r="Q7" s="8">
        <f>AVERAGE(F7,K7,P7)</f>
        <v>4693.041666666667</v>
      </c>
      <c r="R7" s="12">
        <f t="shared" si="2"/>
        <v>4.6930416666666668</v>
      </c>
    </row>
    <row r="8" spans="1:18" x14ac:dyDescent="0.2">
      <c r="Q8" s="8"/>
    </row>
    <row r="9" spans="1:18" ht="20" x14ac:dyDescent="0.2">
      <c r="A9" s="2" t="s">
        <v>8</v>
      </c>
      <c r="B9" s="11" t="s">
        <v>0</v>
      </c>
      <c r="C9" s="11"/>
      <c r="D9" s="11"/>
      <c r="E9" s="11"/>
      <c r="F9" s="9"/>
      <c r="G9" s="11" t="s">
        <v>9</v>
      </c>
      <c r="H9" s="11"/>
      <c r="I9" s="11"/>
      <c r="J9" s="11"/>
      <c r="K9" s="9"/>
      <c r="L9" s="11" t="s">
        <v>10</v>
      </c>
      <c r="M9" s="11"/>
      <c r="N9" s="11"/>
      <c r="O9" s="11"/>
      <c r="P9" s="9"/>
      <c r="Q9" s="8"/>
    </row>
    <row r="10" spans="1:18" x14ac:dyDescent="0.2">
      <c r="A10" s="6"/>
      <c r="B10" s="6" t="s">
        <v>2</v>
      </c>
      <c r="C10" s="6" t="s">
        <v>3</v>
      </c>
      <c r="D10" s="6" t="s">
        <v>4</v>
      </c>
      <c r="E10" s="6" t="s">
        <v>5</v>
      </c>
      <c r="F10" s="9" t="s">
        <v>14</v>
      </c>
      <c r="G10" s="6" t="s">
        <v>2</v>
      </c>
      <c r="H10" s="6" t="s">
        <v>3</v>
      </c>
      <c r="I10" s="6" t="s">
        <v>4</v>
      </c>
      <c r="J10" s="6" t="s">
        <v>5</v>
      </c>
      <c r="K10" s="9" t="s">
        <v>14</v>
      </c>
      <c r="L10" s="6" t="s">
        <v>2</v>
      </c>
      <c r="M10" s="6" t="s">
        <v>3</v>
      </c>
      <c r="N10" s="6" t="s">
        <v>4</v>
      </c>
      <c r="O10" s="6" t="s">
        <v>5</v>
      </c>
      <c r="P10" s="9" t="s">
        <v>14</v>
      </c>
      <c r="Q10" s="8" t="s">
        <v>20</v>
      </c>
    </row>
    <row r="11" spans="1:18" x14ac:dyDescent="0.2">
      <c r="A11" s="6" t="s">
        <v>6</v>
      </c>
      <c r="B11" s="6">
        <v>0</v>
      </c>
      <c r="C11" s="6">
        <v>0</v>
      </c>
      <c r="D11" s="6">
        <v>0</v>
      </c>
      <c r="E11" s="6">
        <v>0</v>
      </c>
      <c r="F11" s="9">
        <f>AVERAGE(B11:E11)</f>
        <v>0</v>
      </c>
      <c r="G11" s="6">
        <v>0</v>
      </c>
      <c r="H11" s="6">
        <v>0</v>
      </c>
      <c r="I11" s="6">
        <v>0</v>
      </c>
      <c r="J11" s="6">
        <v>0</v>
      </c>
      <c r="K11" s="9">
        <f>AVERAGE(G11:J11)</f>
        <v>0</v>
      </c>
      <c r="L11" s="6">
        <v>0</v>
      </c>
      <c r="M11" s="6">
        <v>0</v>
      </c>
      <c r="N11" s="6">
        <v>0</v>
      </c>
      <c r="O11" s="6">
        <v>0</v>
      </c>
      <c r="P11" s="9">
        <f>AVERAGE(L11:O11)</f>
        <v>0</v>
      </c>
      <c r="Q11" s="8">
        <f>AVERAGE(F11,K11,P11)</f>
        <v>0</v>
      </c>
    </row>
    <row r="12" spans="1:18" x14ac:dyDescent="0.2">
      <c r="A12" s="6" t="s">
        <v>1</v>
      </c>
      <c r="B12" s="6">
        <v>8</v>
      </c>
      <c r="C12" s="6">
        <v>6</v>
      </c>
      <c r="D12" s="6">
        <v>8</v>
      </c>
      <c r="E12" s="6">
        <v>7</v>
      </c>
      <c r="F12" s="9">
        <f t="shared" ref="F12:F15" si="3">AVERAGE(B12:E12)</f>
        <v>7.25</v>
      </c>
      <c r="G12" s="6">
        <v>6</v>
      </c>
      <c r="H12" s="6">
        <v>7</v>
      </c>
      <c r="I12" s="6">
        <v>5</v>
      </c>
      <c r="J12" s="6">
        <v>4</v>
      </c>
      <c r="K12" s="9">
        <f>AVERAGE(G12:J12)</f>
        <v>5.5</v>
      </c>
      <c r="L12" s="6">
        <v>8</v>
      </c>
      <c r="M12" s="6">
        <v>7</v>
      </c>
      <c r="N12" s="6">
        <v>4</v>
      </c>
      <c r="O12" s="6">
        <v>6</v>
      </c>
      <c r="P12" s="9">
        <f>AVERAGE(L12:O12)</f>
        <v>6.25</v>
      </c>
      <c r="Q12" s="8">
        <f>AVERAGE(F12,K12,P12)</f>
        <v>6.333333333333333</v>
      </c>
    </row>
    <row r="13" spans="1:18" x14ac:dyDescent="0.2">
      <c r="A13" s="6" t="s">
        <v>7</v>
      </c>
      <c r="B13" s="6">
        <v>5</v>
      </c>
      <c r="C13" s="6">
        <v>6</v>
      </c>
      <c r="D13" s="6">
        <v>5</v>
      </c>
      <c r="E13" s="6">
        <v>6</v>
      </c>
      <c r="F13" s="9">
        <f t="shared" si="3"/>
        <v>5.5</v>
      </c>
      <c r="G13" s="6">
        <v>4</v>
      </c>
      <c r="H13" s="6">
        <v>7</v>
      </c>
      <c r="I13" s="6">
        <v>8</v>
      </c>
      <c r="J13" s="6">
        <v>4</v>
      </c>
      <c r="K13" s="9">
        <f t="shared" ref="K13:K15" si="4">AVERAGE(G13:J13)</f>
        <v>5.75</v>
      </c>
      <c r="L13" s="6">
        <v>8</v>
      </c>
      <c r="M13" s="6">
        <v>6</v>
      </c>
      <c r="N13" s="6">
        <v>4</v>
      </c>
      <c r="O13" s="6">
        <v>4</v>
      </c>
      <c r="P13" s="9">
        <f>AVERAGE(L13:O13)</f>
        <v>5.5</v>
      </c>
      <c r="Q13" s="8">
        <f>AVERAGE(F13,K13,P13)</f>
        <v>5.583333333333333</v>
      </c>
    </row>
    <row r="14" spans="1:18" x14ac:dyDescent="0.2">
      <c r="A14" s="6" t="s">
        <v>11</v>
      </c>
      <c r="B14" s="6">
        <v>6</v>
      </c>
      <c r="C14" s="6">
        <v>6</v>
      </c>
      <c r="D14" s="6">
        <v>5</v>
      </c>
      <c r="E14" s="6">
        <v>5</v>
      </c>
      <c r="F14" s="9">
        <f t="shared" si="3"/>
        <v>5.5</v>
      </c>
      <c r="G14" s="6">
        <v>4</v>
      </c>
      <c r="H14" s="6">
        <v>7</v>
      </c>
      <c r="I14" s="6">
        <v>9</v>
      </c>
      <c r="J14" s="6">
        <v>4</v>
      </c>
      <c r="K14" s="9">
        <f t="shared" si="4"/>
        <v>6</v>
      </c>
      <c r="L14" s="6">
        <v>5</v>
      </c>
      <c r="M14" s="6">
        <v>6</v>
      </c>
      <c r="N14" s="6">
        <v>4</v>
      </c>
      <c r="O14" s="6">
        <v>4</v>
      </c>
      <c r="P14" s="9">
        <f>AVERAGE(L14:O14)</f>
        <v>4.75</v>
      </c>
      <c r="Q14" s="8">
        <f>AVERAGE(F14,K14,P14)</f>
        <v>5.416666666666667</v>
      </c>
    </row>
    <row r="15" spans="1:18" x14ac:dyDescent="0.2">
      <c r="A15" s="6" t="s">
        <v>12</v>
      </c>
      <c r="B15" s="6">
        <v>4</v>
      </c>
      <c r="C15" s="6">
        <v>5</v>
      </c>
      <c r="D15" s="6">
        <v>5</v>
      </c>
      <c r="E15" s="6">
        <v>4</v>
      </c>
      <c r="F15" s="9">
        <f t="shared" si="3"/>
        <v>4.5</v>
      </c>
      <c r="G15" s="6">
        <v>3</v>
      </c>
      <c r="H15" s="6">
        <v>5</v>
      </c>
      <c r="I15" s="6">
        <v>8</v>
      </c>
      <c r="J15" s="6">
        <v>3</v>
      </c>
      <c r="K15" s="9">
        <f t="shared" si="4"/>
        <v>4.75</v>
      </c>
      <c r="L15" s="6">
        <v>2</v>
      </c>
      <c r="M15" s="6">
        <v>4</v>
      </c>
      <c r="N15" s="6">
        <v>4</v>
      </c>
      <c r="O15" s="6">
        <v>4</v>
      </c>
      <c r="P15" s="9">
        <f>AVERAGE(L15:O15)</f>
        <v>3.5</v>
      </c>
      <c r="Q15" s="8">
        <f>AVERAGE(F15,K15,P15)</f>
        <v>4.25</v>
      </c>
    </row>
    <row r="16" spans="1:18" x14ac:dyDescent="0.2">
      <c r="Q16" s="8"/>
    </row>
    <row r="17" spans="1:17" x14ac:dyDescent="0.2">
      <c r="Q17" s="8"/>
    </row>
    <row r="18" spans="1:17" x14ac:dyDescent="0.2">
      <c r="Q18" s="8"/>
    </row>
    <row r="19" spans="1:17" ht="20" x14ac:dyDescent="0.2">
      <c r="A19" s="3" t="s">
        <v>8</v>
      </c>
      <c r="B19" s="4" t="s">
        <v>0</v>
      </c>
      <c r="C19" s="4"/>
      <c r="D19" s="4"/>
      <c r="E19" s="4"/>
      <c r="F19" s="4"/>
      <c r="G19" s="4" t="s">
        <v>9</v>
      </c>
      <c r="H19" s="4"/>
      <c r="I19" s="4"/>
      <c r="J19" s="4"/>
      <c r="K19" s="4"/>
      <c r="L19" s="4" t="s">
        <v>10</v>
      </c>
      <c r="M19" s="4"/>
      <c r="N19" s="4"/>
      <c r="O19" s="4"/>
      <c r="P19" s="4"/>
      <c r="Q19" s="8"/>
    </row>
    <row r="20" spans="1:17" x14ac:dyDescent="0.2">
      <c r="A20" s="4"/>
      <c r="B20" s="4" t="s">
        <v>2</v>
      </c>
      <c r="C20" s="4" t="s">
        <v>3</v>
      </c>
      <c r="D20" s="4" t="s">
        <v>4</v>
      </c>
      <c r="E20" s="4" t="s">
        <v>5</v>
      </c>
      <c r="F20" s="4" t="s">
        <v>14</v>
      </c>
      <c r="G20" s="4" t="s">
        <v>2</v>
      </c>
      <c r="H20" s="4" t="s">
        <v>3</v>
      </c>
      <c r="I20" s="4" t="s">
        <v>4</v>
      </c>
      <c r="J20" s="4" t="s">
        <v>5</v>
      </c>
      <c r="K20" s="4" t="s">
        <v>14</v>
      </c>
      <c r="L20" s="4" t="s">
        <v>2</v>
      </c>
      <c r="M20" s="4" t="s">
        <v>3</v>
      </c>
      <c r="N20" s="4" t="s">
        <v>4</v>
      </c>
      <c r="O20" s="4" t="s">
        <v>5</v>
      </c>
      <c r="P20" s="4" t="s">
        <v>14</v>
      </c>
      <c r="Q20" s="8" t="s">
        <v>21</v>
      </c>
    </row>
    <row r="21" spans="1:17" x14ac:dyDescent="0.2">
      <c r="A21" s="4" t="s">
        <v>6</v>
      </c>
      <c r="B21" s="4">
        <v>0</v>
      </c>
      <c r="C21" s="4">
        <v>0</v>
      </c>
      <c r="D21" s="4">
        <v>0</v>
      </c>
      <c r="E21" s="4">
        <v>0</v>
      </c>
      <c r="F21" s="4">
        <f>AVERAGE(B21:E21)</f>
        <v>0</v>
      </c>
      <c r="G21" s="4">
        <v>0</v>
      </c>
      <c r="H21" s="4">
        <v>0</v>
      </c>
      <c r="I21" s="4">
        <v>0</v>
      </c>
      <c r="J21" s="4">
        <v>0</v>
      </c>
      <c r="K21" s="4">
        <f>AVERAGE(G21:J21)</f>
        <v>0</v>
      </c>
      <c r="L21" s="4">
        <v>0</v>
      </c>
      <c r="M21" s="4">
        <v>0</v>
      </c>
      <c r="N21" s="4">
        <v>0</v>
      </c>
      <c r="O21" s="4">
        <v>0</v>
      </c>
      <c r="P21" s="4">
        <f>AVERAGE(L21:O21)</f>
        <v>0</v>
      </c>
      <c r="Q21" s="8">
        <f>AVERAGE(F21,K21,P21)</f>
        <v>0</v>
      </c>
    </row>
    <row r="22" spans="1:17" x14ac:dyDescent="0.2">
      <c r="A22" s="4" t="s">
        <v>1</v>
      </c>
      <c r="B22" s="4">
        <v>8</v>
      </c>
      <c r="C22" s="4">
        <v>6</v>
      </c>
      <c r="D22" s="4">
        <v>7</v>
      </c>
      <c r="E22" s="4">
        <v>5</v>
      </c>
      <c r="F22" s="4">
        <f t="shared" ref="F22:F25" si="5">AVERAGE(B22:E22)</f>
        <v>6.5</v>
      </c>
      <c r="G22" s="4">
        <v>6</v>
      </c>
      <c r="H22" s="4">
        <v>5</v>
      </c>
      <c r="I22" s="4">
        <v>4</v>
      </c>
      <c r="J22" s="4">
        <v>4</v>
      </c>
      <c r="K22" s="4">
        <f t="shared" ref="K22:K25" si="6">AVERAGE(G22:J22)</f>
        <v>4.75</v>
      </c>
      <c r="L22" s="4">
        <v>7</v>
      </c>
      <c r="M22" s="4">
        <v>5</v>
      </c>
      <c r="N22" s="4">
        <v>3</v>
      </c>
      <c r="O22" s="4">
        <v>6</v>
      </c>
      <c r="P22" s="4">
        <f>AVERAGE(L22:O22)</f>
        <v>5.25</v>
      </c>
      <c r="Q22" s="8">
        <f>AVERAGE(F22,K22,P22)</f>
        <v>5.5</v>
      </c>
    </row>
    <row r="23" spans="1:17" x14ac:dyDescent="0.2">
      <c r="A23" s="4" t="s">
        <v>7</v>
      </c>
      <c r="B23" s="4">
        <v>5</v>
      </c>
      <c r="C23" s="4">
        <v>6</v>
      </c>
      <c r="D23" s="4">
        <v>5</v>
      </c>
      <c r="E23" s="4">
        <v>6</v>
      </c>
      <c r="F23" s="4">
        <f t="shared" si="5"/>
        <v>5.5</v>
      </c>
      <c r="G23" s="4">
        <v>5</v>
      </c>
      <c r="H23" s="4">
        <v>5</v>
      </c>
      <c r="I23" s="4">
        <v>6</v>
      </c>
      <c r="J23" s="4">
        <v>4</v>
      </c>
      <c r="K23" s="4">
        <f t="shared" si="6"/>
        <v>5</v>
      </c>
      <c r="L23" s="4">
        <v>7</v>
      </c>
      <c r="M23" s="4">
        <v>7</v>
      </c>
      <c r="N23" s="4">
        <v>4</v>
      </c>
      <c r="O23" s="4">
        <v>4</v>
      </c>
      <c r="P23" s="4">
        <f>AVERAGE(L23:O23)</f>
        <v>5.5</v>
      </c>
      <c r="Q23" s="8">
        <f>AVERAGE(F23,K23,P23)</f>
        <v>5.333333333333333</v>
      </c>
    </row>
    <row r="24" spans="1:17" x14ac:dyDescent="0.2">
      <c r="A24" s="4" t="s">
        <v>11</v>
      </c>
      <c r="B24" s="4">
        <v>6</v>
      </c>
      <c r="C24" s="4">
        <v>6</v>
      </c>
      <c r="D24" s="4">
        <v>5</v>
      </c>
      <c r="E24" s="4">
        <v>5</v>
      </c>
      <c r="F24" s="4">
        <f t="shared" si="5"/>
        <v>5.5</v>
      </c>
      <c r="G24" s="4">
        <v>5</v>
      </c>
      <c r="H24" s="4">
        <v>6</v>
      </c>
      <c r="I24" s="4">
        <v>7</v>
      </c>
      <c r="J24" s="4">
        <v>4</v>
      </c>
      <c r="K24" s="4">
        <f t="shared" si="6"/>
        <v>5.5</v>
      </c>
      <c r="L24" s="4">
        <v>6</v>
      </c>
      <c r="M24" s="4">
        <v>7</v>
      </c>
      <c r="N24" s="4">
        <v>4</v>
      </c>
      <c r="O24" s="4">
        <v>4</v>
      </c>
      <c r="P24" s="4">
        <f>AVERAGE(L24:O24)</f>
        <v>5.25</v>
      </c>
      <c r="Q24" s="8">
        <f>AVERAGE(F24,K24,P24)</f>
        <v>5.416666666666667</v>
      </c>
    </row>
    <row r="25" spans="1:17" x14ac:dyDescent="0.2">
      <c r="A25" s="4" t="s">
        <v>12</v>
      </c>
      <c r="B25" s="4">
        <v>4</v>
      </c>
      <c r="C25" s="4">
        <v>5</v>
      </c>
      <c r="D25" s="4">
        <v>5</v>
      </c>
      <c r="E25" s="4">
        <v>4</v>
      </c>
      <c r="F25" s="4">
        <f t="shared" si="5"/>
        <v>4.5</v>
      </c>
      <c r="G25" s="4">
        <v>3</v>
      </c>
      <c r="H25" s="4">
        <v>6</v>
      </c>
      <c r="I25" s="4">
        <v>6</v>
      </c>
      <c r="J25" s="4">
        <v>3</v>
      </c>
      <c r="K25" s="4">
        <f t="shared" si="6"/>
        <v>4.5</v>
      </c>
      <c r="L25" s="4">
        <v>3</v>
      </c>
      <c r="M25" s="4">
        <v>4</v>
      </c>
      <c r="N25" s="4">
        <v>4</v>
      </c>
      <c r="O25" s="4">
        <v>4</v>
      </c>
      <c r="P25" s="4">
        <f>AVERAGE(L25:O25)</f>
        <v>3.75</v>
      </c>
      <c r="Q25" s="8">
        <f>AVERAGE(F25,K25,P25)</f>
        <v>4.25</v>
      </c>
    </row>
  </sheetData>
  <mergeCells count="6">
    <mergeCell ref="B1:E1"/>
    <mergeCell ref="G1:J1"/>
    <mergeCell ref="L1:O1"/>
    <mergeCell ref="B9:E9"/>
    <mergeCell ref="G9:J9"/>
    <mergeCell ref="L9:O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5"/>
  <sheetViews>
    <sheetView workbookViewId="0">
      <selection activeCell="R4" sqref="R4"/>
    </sheetView>
  </sheetViews>
  <sheetFormatPr baseColWidth="10" defaultColWidth="9.1640625" defaultRowHeight="18" x14ac:dyDescent="0.2"/>
  <cols>
    <col min="1" max="1" width="22.33203125" style="5" customWidth="1"/>
    <col min="2" max="5" width="9.1640625" style="5"/>
    <col min="6" max="6" width="9.1640625" style="8"/>
    <col min="7" max="10" width="9.1640625" style="5"/>
    <col min="11" max="11" width="9.1640625" style="8"/>
    <col min="12" max="15" width="9.1640625" style="5"/>
    <col min="16" max="16" width="9.1640625" style="8"/>
    <col min="17" max="17" width="21.33203125" style="5" customWidth="1"/>
    <col min="18" max="18" width="13.33203125" style="5" customWidth="1"/>
    <col min="19" max="16384" width="9.1640625" style="5"/>
  </cols>
  <sheetData>
    <row r="1" spans="1:18" ht="20" x14ac:dyDescent="0.2">
      <c r="A1" s="1" t="s">
        <v>13</v>
      </c>
      <c r="B1" s="10" t="s">
        <v>0</v>
      </c>
      <c r="C1" s="10"/>
      <c r="D1" s="10"/>
      <c r="E1" s="10"/>
      <c r="G1" s="10" t="s">
        <v>9</v>
      </c>
      <c r="H1" s="10"/>
      <c r="I1" s="10"/>
      <c r="J1" s="10"/>
      <c r="L1" s="10" t="s">
        <v>10</v>
      </c>
      <c r="M1" s="10"/>
      <c r="N1" s="10"/>
      <c r="O1" s="10"/>
    </row>
    <row r="2" spans="1:18" x14ac:dyDescent="0.2">
      <c r="B2" s="5" t="s">
        <v>2</v>
      </c>
      <c r="C2" s="5" t="s">
        <v>3</v>
      </c>
      <c r="D2" s="5" t="s">
        <v>4</v>
      </c>
      <c r="E2" s="5" t="s">
        <v>5</v>
      </c>
      <c r="F2" s="8" t="s">
        <v>14</v>
      </c>
      <c r="G2" s="5" t="s">
        <v>2</v>
      </c>
      <c r="H2" s="5" t="s">
        <v>3</v>
      </c>
      <c r="I2" s="5" t="s">
        <v>4</v>
      </c>
      <c r="J2" s="5" t="s">
        <v>5</v>
      </c>
      <c r="K2" s="8" t="s">
        <v>14</v>
      </c>
      <c r="L2" s="5" t="s">
        <v>2</v>
      </c>
      <c r="M2" s="5" t="s">
        <v>3</v>
      </c>
      <c r="N2" s="5" t="s">
        <v>4</v>
      </c>
      <c r="O2" s="5" t="s">
        <v>5</v>
      </c>
      <c r="P2" s="8" t="s">
        <v>14</v>
      </c>
      <c r="Q2" s="5" t="s">
        <v>20</v>
      </c>
      <c r="R2" s="5" t="s">
        <v>16</v>
      </c>
    </row>
    <row r="3" spans="1:18" x14ac:dyDescent="0.2">
      <c r="A3" s="5" t="s">
        <v>6</v>
      </c>
      <c r="B3" s="5">
        <f>4383/2</f>
        <v>2191.5</v>
      </c>
      <c r="C3" s="5">
        <f>4564/2</f>
        <v>2282</v>
      </c>
      <c r="D3" s="5">
        <f>4687/2</f>
        <v>2343.5</v>
      </c>
      <c r="E3" s="5">
        <f>4325/2</f>
        <v>2162.5</v>
      </c>
      <c r="F3" s="8">
        <f>AVERAGE(B3:E3)</f>
        <v>2244.875</v>
      </c>
      <c r="G3" s="5">
        <f>4701/2</f>
        <v>2350.5</v>
      </c>
      <c r="H3" s="5">
        <f>4643/2</f>
        <v>2321.5</v>
      </c>
      <c r="I3" s="5">
        <f>4282/2</f>
        <v>2141</v>
      </c>
      <c r="J3" s="5">
        <f>4508/2</f>
        <v>2254</v>
      </c>
      <c r="K3" s="8">
        <f>AVERAGE(G3:J3)</f>
        <v>2266.75</v>
      </c>
      <c r="L3" s="5">
        <f>4493/2</f>
        <v>2246.5</v>
      </c>
      <c r="M3" s="5">
        <f>4713/2</f>
        <v>2356.5</v>
      </c>
      <c r="N3" s="5">
        <f>4551/2</f>
        <v>2275.5</v>
      </c>
      <c r="O3" s="5">
        <f>4361/2</f>
        <v>2180.5</v>
      </c>
      <c r="P3" s="8">
        <f>AVERAGE(L3:O3)</f>
        <v>2264.75</v>
      </c>
      <c r="Q3" s="5">
        <f>AVERAGE(F3,K3,P3)</f>
        <v>2258.7916666666665</v>
      </c>
      <c r="R3" s="12">
        <f>(Q3)/1000</f>
        <v>2.2587916666666663</v>
      </c>
    </row>
    <row r="4" spans="1:18" x14ac:dyDescent="0.2">
      <c r="A4" s="5" t="s">
        <v>1</v>
      </c>
      <c r="B4" s="5">
        <f>5879/2</f>
        <v>2939.5</v>
      </c>
      <c r="C4" s="5">
        <f>6363/2</f>
        <v>3181.5</v>
      </c>
      <c r="D4" s="5">
        <f>6446/2</f>
        <v>3223</v>
      </c>
      <c r="E4" s="5">
        <f>6086/2</f>
        <v>3043</v>
      </c>
      <c r="F4" s="8">
        <f t="shared" ref="F4:F25" si="0">AVERAGE(B4:E4)</f>
        <v>3096.75</v>
      </c>
      <c r="G4" s="5">
        <f>6538/2</f>
        <v>3269</v>
      </c>
      <c r="H4" s="5">
        <f>6485/2</f>
        <v>3242.5</v>
      </c>
      <c r="I4" s="5">
        <f>5999/2</f>
        <v>2999.5</v>
      </c>
      <c r="J4" s="5">
        <f>6263/2</f>
        <v>3131.5</v>
      </c>
      <c r="K4" s="8">
        <f t="shared" ref="K4:K7" si="1">AVERAGE(G4:J4)</f>
        <v>3160.625</v>
      </c>
      <c r="L4" s="5">
        <f>5743/2</f>
        <v>2871.5</v>
      </c>
      <c r="M4" s="5">
        <f>6343/2</f>
        <v>3171.5</v>
      </c>
      <c r="N4" s="5">
        <f>6336/2</f>
        <v>3168</v>
      </c>
      <c r="O4" s="5">
        <f>5971/2</f>
        <v>2985.5</v>
      </c>
      <c r="P4" s="8">
        <f t="shared" ref="P4:P7" si="2">AVERAGE(L4:O4)</f>
        <v>3049.125</v>
      </c>
      <c r="Q4" s="8">
        <f t="shared" ref="Q4:Q25" si="3">AVERAGE(F4,K4,P4)</f>
        <v>3102.1666666666665</v>
      </c>
      <c r="R4" s="12">
        <f t="shared" ref="R4:R7" si="4">(Q4)/1000</f>
        <v>3.1021666666666663</v>
      </c>
    </row>
    <row r="5" spans="1:18" x14ac:dyDescent="0.2">
      <c r="A5" s="5" t="s">
        <v>7</v>
      </c>
      <c r="B5" s="5">
        <f>7228/2</f>
        <v>3614</v>
      </c>
      <c r="C5" s="5">
        <f>7639/2</f>
        <v>3819.5</v>
      </c>
      <c r="D5" s="5">
        <f>7569/2</f>
        <v>3784.5</v>
      </c>
      <c r="E5" s="5">
        <f>7416/2</f>
        <v>3708</v>
      </c>
      <c r="F5" s="8">
        <f t="shared" si="0"/>
        <v>3731.5</v>
      </c>
      <c r="G5" s="5">
        <f>7703/2</f>
        <v>3851.5</v>
      </c>
      <c r="H5" s="5">
        <f>8028/2</f>
        <v>4014</v>
      </c>
      <c r="I5" s="5">
        <f>7332/2</f>
        <v>3666</v>
      </c>
      <c r="J5" s="5">
        <f>7226/2</f>
        <v>3613</v>
      </c>
      <c r="K5" s="8">
        <f t="shared" si="1"/>
        <v>3786.125</v>
      </c>
      <c r="L5" s="5">
        <f>7310/2</f>
        <v>3655</v>
      </c>
      <c r="M5" s="5">
        <f>7682/2</f>
        <v>3841</v>
      </c>
      <c r="N5" s="5">
        <f>7754/2</f>
        <v>3877</v>
      </c>
      <c r="O5" s="5">
        <f>7162/2</f>
        <v>3581</v>
      </c>
      <c r="P5" s="8">
        <f t="shared" si="2"/>
        <v>3738.5</v>
      </c>
      <c r="Q5" s="8">
        <f t="shared" si="3"/>
        <v>3752.0416666666665</v>
      </c>
      <c r="R5" s="12">
        <f t="shared" si="4"/>
        <v>3.7520416666666665</v>
      </c>
    </row>
    <row r="6" spans="1:18" x14ac:dyDescent="0.2">
      <c r="A6" s="5" t="s">
        <v>11</v>
      </c>
      <c r="B6" s="5">
        <f>8558/2</f>
        <v>4279</v>
      </c>
      <c r="C6" s="5">
        <f>8801/2</f>
        <v>4400.5</v>
      </c>
      <c r="D6" s="5">
        <f>8876/2</f>
        <v>4438</v>
      </c>
      <c r="E6" s="5">
        <f>8902/2</f>
        <v>4451</v>
      </c>
      <c r="F6" s="8">
        <f t="shared" si="0"/>
        <v>4392.125</v>
      </c>
      <c r="G6" s="5">
        <f>8879/2</f>
        <v>4439.5</v>
      </c>
      <c r="H6" s="5">
        <f>8940/2</f>
        <v>4470</v>
      </c>
      <c r="I6" s="5">
        <f>8232/2</f>
        <v>4116</v>
      </c>
      <c r="J6" s="5">
        <f>8857/2</f>
        <v>4428.5</v>
      </c>
      <c r="K6" s="8">
        <f t="shared" si="1"/>
        <v>4363.5</v>
      </c>
      <c r="L6" s="5">
        <f>8438/2</f>
        <v>4219</v>
      </c>
      <c r="M6" s="5">
        <f>8715/2</f>
        <v>4357.5</v>
      </c>
      <c r="N6" s="5">
        <f>8832/2</f>
        <v>4416</v>
      </c>
      <c r="O6" s="5">
        <f>8350/2</f>
        <v>4175</v>
      </c>
      <c r="P6" s="8">
        <f t="shared" si="2"/>
        <v>4291.875</v>
      </c>
      <c r="Q6" s="8">
        <f t="shared" si="3"/>
        <v>4349.166666666667</v>
      </c>
      <c r="R6" s="12">
        <f t="shared" si="4"/>
        <v>4.3491666666666671</v>
      </c>
    </row>
    <row r="7" spans="1:18" x14ac:dyDescent="0.2">
      <c r="A7" s="5" t="s">
        <v>12</v>
      </c>
      <c r="B7" s="5">
        <f>9864/2</f>
        <v>4932</v>
      </c>
      <c r="C7" s="5">
        <f>9821/2</f>
        <v>4910.5</v>
      </c>
      <c r="D7" s="5">
        <f>9927/2</f>
        <v>4963.5</v>
      </c>
      <c r="E7" s="5">
        <f>10526/2</f>
        <v>5263</v>
      </c>
      <c r="F7" s="8">
        <f t="shared" si="0"/>
        <v>5017.25</v>
      </c>
      <c r="G7" s="5">
        <f>10231/2</f>
        <v>5115.5</v>
      </c>
      <c r="H7" s="5">
        <f>10753/2</f>
        <v>5376.5</v>
      </c>
      <c r="I7" s="5">
        <f>9379/2</f>
        <v>4689.5</v>
      </c>
      <c r="J7" s="5">
        <f>10082/2</f>
        <v>5041</v>
      </c>
      <c r="K7" s="8">
        <f t="shared" si="1"/>
        <v>5055.625</v>
      </c>
      <c r="L7" s="5">
        <f>9796/2</f>
        <v>4898</v>
      </c>
      <c r="M7" s="5">
        <f>9729/2</f>
        <v>4864.5</v>
      </c>
      <c r="N7" s="5">
        <f>10117/2</f>
        <v>5058.5</v>
      </c>
      <c r="O7" s="5">
        <f>10201/2</f>
        <v>5100.5</v>
      </c>
      <c r="P7" s="8">
        <f t="shared" si="2"/>
        <v>4980.375</v>
      </c>
      <c r="Q7" s="8">
        <f t="shared" si="3"/>
        <v>5017.75</v>
      </c>
      <c r="R7" s="12">
        <f t="shared" si="4"/>
        <v>5.0177500000000004</v>
      </c>
    </row>
    <row r="8" spans="1:18" x14ac:dyDescent="0.2">
      <c r="Q8" s="8"/>
    </row>
    <row r="9" spans="1:18" ht="20" x14ac:dyDescent="0.2">
      <c r="A9" s="2" t="s">
        <v>8</v>
      </c>
      <c r="B9" s="11" t="s">
        <v>0</v>
      </c>
      <c r="C9" s="11"/>
      <c r="D9" s="11"/>
      <c r="E9" s="11"/>
      <c r="F9" s="9"/>
      <c r="G9" s="11" t="s">
        <v>9</v>
      </c>
      <c r="H9" s="11"/>
      <c r="I9" s="11"/>
      <c r="J9" s="11"/>
      <c r="K9" s="9"/>
      <c r="L9" s="11" t="s">
        <v>10</v>
      </c>
      <c r="M9" s="11"/>
      <c r="N9" s="11"/>
      <c r="O9" s="11"/>
      <c r="P9" s="9"/>
      <c r="Q9" s="8"/>
    </row>
    <row r="10" spans="1:18" x14ac:dyDescent="0.2">
      <c r="A10" s="6"/>
      <c r="B10" s="6" t="s">
        <v>2</v>
      </c>
      <c r="C10" s="6" t="s">
        <v>3</v>
      </c>
      <c r="D10" s="6" t="s">
        <v>4</v>
      </c>
      <c r="E10" s="6" t="s">
        <v>5</v>
      </c>
      <c r="F10" s="9" t="s">
        <v>14</v>
      </c>
      <c r="G10" s="6" t="s">
        <v>2</v>
      </c>
      <c r="H10" s="6" t="s">
        <v>3</v>
      </c>
      <c r="I10" s="6" t="s">
        <v>4</v>
      </c>
      <c r="J10" s="6" t="s">
        <v>5</v>
      </c>
      <c r="K10" s="9" t="s">
        <v>14</v>
      </c>
      <c r="L10" s="6" t="s">
        <v>2</v>
      </c>
      <c r="M10" s="6" t="s">
        <v>3</v>
      </c>
      <c r="N10" s="6" t="s">
        <v>4</v>
      </c>
      <c r="O10" s="6" t="s">
        <v>5</v>
      </c>
      <c r="P10" s="9" t="s">
        <v>14</v>
      </c>
      <c r="Q10" s="9" t="s">
        <v>20</v>
      </c>
    </row>
    <row r="11" spans="1:18" x14ac:dyDescent="0.2">
      <c r="A11" s="6" t="s">
        <v>6</v>
      </c>
      <c r="B11" s="6">
        <v>0</v>
      </c>
      <c r="C11" s="6">
        <v>0</v>
      </c>
      <c r="D11" s="6">
        <v>0</v>
      </c>
      <c r="E11" s="6">
        <v>0</v>
      </c>
      <c r="F11" s="9">
        <f t="shared" si="0"/>
        <v>0</v>
      </c>
      <c r="G11" s="6">
        <v>0</v>
      </c>
      <c r="H11" s="6">
        <v>0</v>
      </c>
      <c r="I11" s="6">
        <v>0</v>
      </c>
      <c r="J11" s="6">
        <v>0</v>
      </c>
      <c r="K11" s="9">
        <f>AVERAGE(G11:J11)</f>
        <v>0</v>
      </c>
      <c r="L11" s="6">
        <v>0</v>
      </c>
      <c r="M11" s="6">
        <v>0</v>
      </c>
      <c r="N11" s="6">
        <v>0</v>
      </c>
      <c r="O11" s="6">
        <v>0</v>
      </c>
      <c r="P11" s="9">
        <f>AVERAGE(L11:O11)</f>
        <v>0</v>
      </c>
      <c r="Q11" s="9">
        <f t="shared" si="3"/>
        <v>0</v>
      </c>
    </row>
    <row r="12" spans="1:18" x14ac:dyDescent="0.2">
      <c r="A12" s="6" t="s">
        <v>1</v>
      </c>
      <c r="B12" s="6">
        <v>6</v>
      </c>
      <c r="C12" s="6">
        <v>7</v>
      </c>
      <c r="D12" s="6">
        <v>8</v>
      </c>
      <c r="E12" s="6">
        <v>6</v>
      </c>
      <c r="F12" s="9">
        <f t="shared" si="0"/>
        <v>6.75</v>
      </c>
      <c r="G12" s="6">
        <v>9</v>
      </c>
      <c r="H12" s="6">
        <v>7</v>
      </c>
      <c r="I12" s="6">
        <v>6</v>
      </c>
      <c r="J12" s="6">
        <v>7</v>
      </c>
      <c r="K12" s="9">
        <f t="shared" ref="K12:K15" si="5">AVERAGE(G12:J12)</f>
        <v>7.25</v>
      </c>
      <c r="L12" s="6">
        <v>6</v>
      </c>
      <c r="M12" s="6">
        <v>8</v>
      </c>
      <c r="N12" s="6">
        <v>3</v>
      </c>
      <c r="O12" s="6">
        <v>7</v>
      </c>
      <c r="P12" s="9">
        <f t="shared" ref="P12:P15" si="6">AVERAGE(L12:O12)</f>
        <v>6</v>
      </c>
      <c r="Q12" s="9">
        <f>AVERAGE(F12,K12,P12)</f>
        <v>6.666666666666667</v>
      </c>
    </row>
    <row r="13" spans="1:18" x14ac:dyDescent="0.2">
      <c r="A13" s="6" t="s">
        <v>7</v>
      </c>
      <c r="B13" s="6">
        <v>5</v>
      </c>
      <c r="C13" s="6">
        <v>7</v>
      </c>
      <c r="D13" s="6">
        <v>7</v>
      </c>
      <c r="E13" s="6">
        <v>5</v>
      </c>
      <c r="F13" s="9">
        <f t="shared" si="0"/>
        <v>6</v>
      </c>
      <c r="G13" s="6">
        <v>6</v>
      </c>
      <c r="H13" s="6">
        <v>4</v>
      </c>
      <c r="I13" s="6">
        <v>5</v>
      </c>
      <c r="J13" s="6">
        <v>5</v>
      </c>
      <c r="K13" s="9">
        <f t="shared" si="5"/>
        <v>5</v>
      </c>
      <c r="L13" s="6">
        <v>5</v>
      </c>
      <c r="M13" s="6">
        <v>7</v>
      </c>
      <c r="N13" s="6">
        <v>2</v>
      </c>
      <c r="O13" s="6">
        <v>4</v>
      </c>
      <c r="P13" s="9">
        <f t="shared" si="6"/>
        <v>4.5</v>
      </c>
      <c r="Q13" s="9">
        <f t="shared" si="3"/>
        <v>5.166666666666667</v>
      </c>
    </row>
    <row r="14" spans="1:18" x14ac:dyDescent="0.2">
      <c r="A14" s="6" t="s">
        <v>11</v>
      </c>
      <c r="B14" s="6">
        <v>5</v>
      </c>
      <c r="C14" s="6">
        <v>7</v>
      </c>
      <c r="D14" s="6">
        <v>7</v>
      </c>
      <c r="E14" s="6">
        <v>5</v>
      </c>
      <c r="F14" s="9">
        <f t="shared" si="0"/>
        <v>6</v>
      </c>
      <c r="G14" s="6">
        <v>7</v>
      </c>
      <c r="H14" s="6">
        <v>4</v>
      </c>
      <c r="I14" s="6">
        <v>4</v>
      </c>
      <c r="J14" s="6">
        <v>4</v>
      </c>
      <c r="K14" s="9">
        <f t="shared" si="5"/>
        <v>4.75</v>
      </c>
      <c r="L14" s="6">
        <v>7</v>
      </c>
      <c r="M14" s="6">
        <v>6</v>
      </c>
      <c r="N14" s="6">
        <v>2</v>
      </c>
      <c r="O14" s="6">
        <v>4</v>
      </c>
      <c r="P14" s="9">
        <f t="shared" si="6"/>
        <v>4.75</v>
      </c>
      <c r="Q14" s="9">
        <f t="shared" si="3"/>
        <v>5.166666666666667</v>
      </c>
    </row>
    <row r="15" spans="1:18" x14ac:dyDescent="0.2">
      <c r="A15" s="6" t="s">
        <v>12</v>
      </c>
      <c r="B15" s="6">
        <v>4</v>
      </c>
      <c r="C15" s="6">
        <v>5</v>
      </c>
      <c r="D15" s="6">
        <v>5</v>
      </c>
      <c r="E15" s="6">
        <v>3</v>
      </c>
      <c r="F15" s="9">
        <f t="shared" si="0"/>
        <v>4.25</v>
      </c>
      <c r="G15" s="6">
        <v>7</v>
      </c>
      <c r="H15" s="6">
        <v>3</v>
      </c>
      <c r="I15" s="6">
        <v>3</v>
      </c>
      <c r="J15" s="6">
        <v>3</v>
      </c>
      <c r="K15" s="9">
        <f t="shared" si="5"/>
        <v>4</v>
      </c>
      <c r="L15" s="6">
        <v>1</v>
      </c>
      <c r="M15" s="6">
        <v>6</v>
      </c>
      <c r="N15" s="6">
        <v>2</v>
      </c>
      <c r="O15" s="6">
        <v>4</v>
      </c>
      <c r="P15" s="9">
        <f t="shared" si="6"/>
        <v>3.25</v>
      </c>
      <c r="Q15" s="9">
        <f t="shared" si="3"/>
        <v>3.8333333333333335</v>
      </c>
    </row>
    <row r="16" spans="1:18" x14ac:dyDescent="0.2">
      <c r="F16" s="15"/>
      <c r="Q16" s="8"/>
    </row>
    <row r="17" spans="1:17" x14ac:dyDescent="0.2">
      <c r="F17" s="15"/>
      <c r="Q17" s="8"/>
    </row>
    <row r="18" spans="1:17" x14ac:dyDescent="0.2">
      <c r="F18" s="15"/>
      <c r="Q18" s="8"/>
    </row>
    <row r="19" spans="1:17" ht="20" x14ac:dyDescent="0.2">
      <c r="A19" s="3" t="s">
        <v>8</v>
      </c>
      <c r="B19" s="16" t="s">
        <v>0</v>
      </c>
      <c r="C19" s="16"/>
      <c r="D19" s="16"/>
      <c r="E19" s="16"/>
      <c r="F19" s="4"/>
      <c r="G19" s="4" t="s">
        <v>9</v>
      </c>
      <c r="H19" s="4"/>
      <c r="I19" s="4"/>
      <c r="J19" s="4"/>
      <c r="K19" s="4"/>
      <c r="L19" s="4" t="s">
        <v>10</v>
      </c>
      <c r="M19" s="4"/>
      <c r="N19" s="4"/>
      <c r="O19" s="4"/>
      <c r="P19" s="4"/>
      <c r="Q19" s="8"/>
    </row>
    <row r="20" spans="1:17" x14ac:dyDescent="0.2">
      <c r="A20" s="4"/>
      <c r="B20" s="4" t="s">
        <v>2</v>
      </c>
      <c r="C20" s="4" t="s">
        <v>3</v>
      </c>
      <c r="D20" s="4" t="s">
        <v>4</v>
      </c>
      <c r="E20" s="4" t="s">
        <v>5</v>
      </c>
      <c r="F20" s="4" t="s">
        <v>14</v>
      </c>
      <c r="G20" s="4" t="s">
        <v>2</v>
      </c>
      <c r="H20" s="4" t="s">
        <v>3</v>
      </c>
      <c r="I20" s="4" t="s">
        <v>4</v>
      </c>
      <c r="J20" s="4" t="s">
        <v>5</v>
      </c>
      <c r="K20" s="4" t="s">
        <v>14</v>
      </c>
      <c r="L20" s="4" t="s">
        <v>2</v>
      </c>
      <c r="M20" s="4" t="s">
        <v>3</v>
      </c>
      <c r="N20" s="4" t="s">
        <v>4</v>
      </c>
      <c r="O20" s="4" t="s">
        <v>5</v>
      </c>
      <c r="P20" s="4" t="s">
        <v>14</v>
      </c>
      <c r="Q20" s="4" t="s">
        <v>20</v>
      </c>
    </row>
    <row r="21" spans="1:17" x14ac:dyDescent="0.2">
      <c r="A21" s="4" t="s">
        <v>6</v>
      </c>
      <c r="B21" s="4">
        <v>0</v>
      </c>
      <c r="C21" s="4">
        <v>0</v>
      </c>
      <c r="D21" s="4">
        <v>0</v>
      </c>
      <c r="E21" s="4">
        <v>0</v>
      </c>
      <c r="F21" s="4">
        <f t="shared" si="0"/>
        <v>0</v>
      </c>
      <c r="G21" s="4">
        <v>0</v>
      </c>
      <c r="H21" s="4">
        <v>0</v>
      </c>
      <c r="I21" s="4">
        <v>0</v>
      </c>
      <c r="J21" s="4">
        <v>0</v>
      </c>
      <c r="K21" s="4">
        <f>AVERAGE(G21:J21)</f>
        <v>0</v>
      </c>
      <c r="L21" s="4">
        <v>0</v>
      </c>
      <c r="M21" s="4">
        <v>0</v>
      </c>
      <c r="N21" s="4">
        <v>0</v>
      </c>
      <c r="O21" s="4">
        <v>0</v>
      </c>
      <c r="P21" s="4">
        <f>AVERAGE(L21:O21)</f>
        <v>0</v>
      </c>
      <c r="Q21" s="4">
        <f t="shared" si="3"/>
        <v>0</v>
      </c>
    </row>
    <row r="22" spans="1:17" x14ac:dyDescent="0.2">
      <c r="A22" s="4" t="s">
        <v>1</v>
      </c>
      <c r="B22" s="4">
        <v>7</v>
      </c>
      <c r="C22" s="4">
        <v>8</v>
      </c>
      <c r="D22" s="4">
        <v>9</v>
      </c>
      <c r="E22" s="4">
        <v>6</v>
      </c>
      <c r="F22" s="4">
        <f>AVERAGE(B22:E22)</f>
        <v>7.5</v>
      </c>
      <c r="G22" s="4">
        <v>10</v>
      </c>
      <c r="H22" s="4">
        <v>8</v>
      </c>
      <c r="I22" s="4">
        <v>5</v>
      </c>
      <c r="J22" s="4">
        <v>6</v>
      </c>
      <c r="K22" s="4">
        <f t="shared" ref="K22:K25" si="7">AVERAGE(G22:J22)</f>
        <v>7.25</v>
      </c>
      <c r="L22" s="4">
        <v>6</v>
      </c>
      <c r="M22" s="4">
        <v>7</v>
      </c>
      <c r="N22" s="4">
        <v>4</v>
      </c>
      <c r="O22" s="4">
        <v>6</v>
      </c>
      <c r="P22" s="4">
        <f t="shared" ref="P22:P25" si="8">AVERAGE(L22:O22)</f>
        <v>5.75</v>
      </c>
      <c r="Q22" s="4">
        <f>AVERAGE(F22,K22,P22)</f>
        <v>6.833333333333333</v>
      </c>
    </row>
    <row r="23" spans="1:17" x14ac:dyDescent="0.2">
      <c r="A23" s="4" t="s">
        <v>7</v>
      </c>
      <c r="B23" s="4">
        <v>5</v>
      </c>
      <c r="C23" s="4">
        <v>8</v>
      </c>
      <c r="D23" s="4">
        <v>7</v>
      </c>
      <c r="E23" s="4">
        <v>5</v>
      </c>
      <c r="F23" s="4">
        <f t="shared" si="0"/>
        <v>6.25</v>
      </c>
      <c r="G23" s="4">
        <v>7</v>
      </c>
      <c r="H23" s="4">
        <v>4</v>
      </c>
      <c r="I23" s="4">
        <v>5</v>
      </c>
      <c r="J23" s="4">
        <v>5</v>
      </c>
      <c r="K23" s="4">
        <f t="shared" si="7"/>
        <v>5.25</v>
      </c>
      <c r="L23" s="4">
        <v>5</v>
      </c>
      <c r="M23" s="4">
        <v>6</v>
      </c>
      <c r="N23" s="4">
        <v>2</v>
      </c>
      <c r="O23" s="4">
        <v>4</v>
      </c>
      <c r="P23" s="4">
        <f t="shared" si="8"/>
        <v>4.25</v>
      </c>
      <c r="Q23" s="4">
        <f t="shared" si="3"/>
        <v>5.25</v>
      </c>
    </row>
    <row r="24" spans="1:17" x14ac:dyDescent="0.2">
      <c r="A24" s="4" t="s">
        <v>11</v>
      </c>
      <c r="B24" s="4">
        <v>5</v>
      </c>
      <c r="C24" s="4">
        <v>6</v>
      </c>
      <c r="D24" s="4">
        <v>7</v>
      </c>
      <c r="E24" s="4">
        <v>5</v>
      </c>
      <c r="F24" s="4">
        <f t="shared" si="0"/>
        <v>5.75</v>
      </c>
      <c r="G24" s="4">
        <v>7</v>
      </c>
      <c r="H24" s="4">
        <v>4</v>
      </c>
      <c r="I24" s="4">
        <v>4</v>
      </c>
      <c r="J24" s="4">
        <v>4</v>
      </c>
      <c r="K24" s="4">
        <f t="shared" si="7"/>
        <v>4.75</v>
      </c>
      <c r="L24" s="4">
        <v>7</v>
      </c>
      <c r="M24" s="4">
        <v>5</v>
      </c>
      <c r="N24" s="4">
        <v>2</v>
      </c>
      <c r="O24" s="4">
        <v>4</v>
      </c>
      <c r="P24" s="4">
        <f t="shared" si="8"/>
        <v>4.5</v>
      </c>
      <c r="Q24" s="4">
        <f t="shared" si="3"/>
        <v>5</v>
      </c>
    </row>
    <row r="25" spans="1:17" x14ac:dyDescent="0.2">
      <c r="A25" s="4" t="s">
        <v>12</v>
      </c>
      <c r="B25" s="4">
        <v>4</v>
      </c>
      <c r="C25" s="4">
        <v>5</v>
      </c>
      <c r="D25" s="4">
        <v>5</v>
      </c>
      <c r="E25" s="4">
        <v>3</v>
      </c>
      <c r="F25" s="4">
        <f t="shared" si="0"/>
        <v>4.25</v>
      </c>
      <c r="G25" s="4">
        <v>7</v>
      </c>
      <c r="H25" s="4">
        <v>3</v>
      </c>
      <c r="I25" s="4">
        <v>3</v>
      </c>
      <c r="J25" s="4">
        <v>3</v>
      </c>
      <c r="K25" s="4">
        <f t="shared" si="7"/>
        <v>4</v>
      </c>
      <c r="L25" s="4">
        <v>1</v>
      </c>
      <c r="M25" s="4">
        <v>5</v>
      </c>
      <c r="N25" s="4">
        <v>2</v>
      </c>
      <c r="O25" s="4">
        <v>4</v>
      </c>
      <c r="P25" s="4">
        <f t="shared" si="8"/>
        <v>3</v>
      </c>
      <c r="Q25" s="4">
        <f t="shared" si="3"/>
        <v>3.75</v>
      </c>
    </row>
  </sheetData>
  <mergeCells count="7">
    <mergeCell ref="B19:E19"/>
    <mergeCell ref="B9:E9"/>
    <mergeCell ref="G9:J9"/>
    <mergeCell ref="L9:O9"/>
    <mergeCell ref="B1:E1"/>
    <mergeCell ref="G1:J1"/>
    <mergeCell ref="L1:O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5"/>
  <sheetViews>
    <sheetView workbookViewId="0">
      <selection activeCell="F8" sqref="F8"/>
    </sheetView>
  </sheetViews>
  <sheetFormatPr baseColWidth="10" defaultColWidth="9.1640625" defaultRowHeight="18" x14ac:dyDescent="0.2"/>
  <cols>
    <col min="1" max="1" width="22.33203125" style="5" customWidth="1"/>
    <col min="2" max="5" width="9.1640625" style="5"/>
    <col min="6" max="6" width="9.1640625" style="8"/>
    <col min="7" max="10" width="9.1640625" style="5"/>
    <col min="11" max="11" width="9.1640625" style="8"/>
    <col min="12" max="16" width="9.1640625" style="5"/>
    <col min="17" max="17" width="24.5" style="8" customWidth="1"/>
    <col min="18" max="18" width="25.1640625" style="5" customWidth="1"/>
    <col min="19" max="16384" width="9.1640625" style="5"/>
  </cols>
  <sheetData>
    <row r="1" spans="1:18" ht="20" x14ac:dyDescent="0.2">
      <c r="A1" s="1" t="s">
        <v>13</v>
      </c>
      <c r="B1" s="10" t="s">
        <v>0</v>
      </c>
      <c r="C1" s="10"/>
      <c r="D1" s="10"/>
      <c r="E1" s="10"/>
      <c r="G1" s="10" t="s">
        <v>9</v>
      </c>
      <c r="H1" s="10"/>
      <c r="I1" s="10"/>
      <c r="J1" s="10"/>
      <c r="L1" s="10" t="s">
        <v>10</v>
      </c>
      <c r="M1" s="10"/>
      <c r="N1" s="10"/>
      <c r="O1" s="10"/>
    </row>
    <row r="2" spans="1:18" x14ac:dyDescent="0.2">
      <c r="B2" s="5" t="s">
        <v>2</v>
      </c>
      <c r="C2" s="5" t="s">
        <v>3</v>
      </c>
      <c r="D2" s="5" t="s">
        <v>4</v>
      </c>
      <c r="E2" s="5" t="s">
        <v>5</v>
      </c>
      <c r="F2" s="8" t="s">
        <v>14</v>
      </c>
      <c r="G2" s="5" t="s">
        <v>2</v>
      </c>
      <c r="H2" s="5" t="s">
        <v>3</v>
      </c>
      <c r="I2" s="5" t="s">
        <v>4</v>
      </c>
      <c r="J2" s="5" t="s">
        <v>5</v>
      </c>
      <c r="K2" s="8" t="s">
        <v>14</v>
      </c>
      <c r="L2" s="5" t="s">
        <v>2</v>
      </c>
      <c r="M2" s="5" t="s">
        <v>3</v>
      </c>
      <c r="N2" s="5" t="s">
        <v>4</v>
      </c>
      <c r="O2" s="5" t="s">
        <v>5</v>
      </c>
      <c r="P2" s="5" t="s">
        <v>14</v>
      </c>
      <c r="Q2" s="8" t="s">
        <v>20</v>
      </c>
      <c r="R2" s="5" t="s">
        <v>16</v>
      </c>
    </row>
    <row r="3" spans="1:18" x14ac:dyDescent="0.2">
      <c r="A3" s="5" t="s">
        <v>6</v>
      </c>
      <c r="B3" s="5">
        <f>5581/2</f>
        <v>2790.5</v>
      </c>
      <c r="C3" s="5">
        <f>6072/2</f>
        <v>3036</v>
      </c>
      <c r="D3" s="5">
        <f>5711/2</f>
        <v>2855.5</v>
      </c>
      <c r="E3" s="5">
        <f>5591/2</f>
        <v>2795.5</v>
      </c>
      <c r="F3" s="8">
        <f>AVERAGE(B3:E3)</f>
        <v>2869.375</v>
      </c>
      <c r="G3" s="5">
        <f>5860/2</f>
        <v>2930</v>
      </c>
      <c r="H3" s="5">
        <f>5871/2</f>
        <v>2935.5</v>
      </c>
      <c r="I3" s="5">
        <f>5933/2</f>
        <v>2966.5</v>
      </c>
      <c r="J3" s="5">
        <f>5928/2</f>
        <v>2964</v>
      </c>
      <c r="K3" s="8">
        <f>AVERAGE(G3:J3)</f>
        <v>2949</v>
      </c>
      <c r="L3" s="5">
        <f>5588/2</f>
        <v>2794</v>
      </c>
      <c r="M3" s="5">
        <f>5551/2</f>
        <v>2775.5</v>
      </c>
      <c r="N3" s="5">
        <f>5971/2</f>
        <v>2985.5</v>
      </c>
      <c r="O3" s="5">
        <f>5878/2</f>
        <v>2939</v>
      </c>
      <c r="P3" s="5">
        <f>AVERAGE(B3:O3)</f>
        <v>2898.9910714285716</v>
      </c>
      <c r="Q3" s="8">
        <f>AVERAGE(F3,K3,P3)</f>
        <v>2905.7886904761908</v>
      </c>
      <c r="R3" s="12">
        <f>(P3)/(1000)</f>
        <v>2.8989910714285716</v>
      </c>
    </row>
    <row r="4" spans="1:18" x14ac:dyDescent="0.2">
      <c r="A4" s="5" t="s">
        <v>1</v>
      </c>
      <c r="B4" s="5">
        <f>6867/2</f>
        <v>3433.5</v>
      </c>
      <c r="C4" s="5">
        <f>7226/2</f>
        <v>3613</v>
      </c>
      <c r="D4" s="5">
        <f>7242/2</f>
        <v>3621</v>
      </c>
      <c r="E4" s="5">
        <f>6815/2</f>
        <v>3407.5</v>
      </c>
      <c r="F4" s="8">
        <f t="shared" ref="F4:F7" si="0">AVERAGE(B4:E4)</f>
        <v>3518.75</v>
      </c>
      <c r="G4" s="5">
        <f>7443/2</f>
        <v>3721.5</v>
      </c>
      <c r="H4" s="5">
        <f>7451/2</f>
        <v>3725.5</v>
      </c>
      <c r="I4" s="5">
        <f>7519/2</f>
        <v>3759.5</v>
      </c>
      <c r="J4" s="5">
        <f>7399/2</f>
        <v>3699.5</v>
      </c>
      <c r="K4" s="8">
        <f t="shared" ref="K4:K7" si="1">AVERAGE(G4:J4)</f>
        <v>3726.5</v>
      </c>
      <c r="L4" s="5">
        <f>7045/2</f>
        <v>3522.5</v>
      </c>
      <c r="M4" s="5">
        <f>6702/2</f>
        <v>3351</v>
      </c>
      <c r="N4" s="5">
        <f>7214/2</f>
        <v>3607</v>
      </c>
      <c r="O4" s="5">
        <f>7222/2</f>
        <v>3611</v>
      </c>
      <c r="P4" s="8">
        <f t="shared" ref="P4:P7" si="2">AVERAGE(B4:O4)</f>
        <v>3594.125</v>
      </c>
      <c r="Q4" s="8">
        <f t="shared" ref="Q4:Q7" si="3">AVERAGE(F4,K4,P4)</f>
        <v>3613.125</v>
      </c>
      <c r="R4" s="12">
        <f t="shared" ref="R4:R7" si="4">(P4)/(1000)</f>
        <v>3.594125</v>
      </c>
    </row>
    <row r="5" spans="1:18" x14ac:dyDescent="0.2">
      <c r="A5" s="5" t="s">
        <v>7</v>
      </c>
      <c r="B5" s="5">
        <f>8145/2</f>
        <v>4072.5</v>
      </c>
      <c r="C5" s="5">
        <f>8230/2</f>
        <v>4115</v>
      </c>
      <c r="D5" s="5">
        <f>8417/2</f>
        <v>4208.5</v>
      </c>
      <c r="E5" s="5">
        <f>8160/2</f>
        <v>4080</v>
      </c>
      <c r="F5" s="8">
        <f t="shared" si="0"/>
        <v>4119</v>
      </c>
      <c r="G5" s="5">
        <f>8524/2</f>
        <v>4262</v>
      </c>
      <c r="H5" s="5">
        <f>8554/2</f>
        <v>4277</v>
      </c>
      <c r="I5" s="5">
        <f>8519/2</f>
        <v>4259.5</v>
      </c>
      <c r="J5" s="5">
        <f>8866/2</f>
        <v>4433</v>
      </c>
      <c r="K5" s="8">
        <f t="shared" si="1"/>
        <v>4307.875</v>
      </c>
      <c r="L5" s="5">
        <f>8014/2</f>
        <v>4007</v>
      </c>
      <c r="M5" s="5">
        <f>7930/2</f>
        <v>3965</v>
      </c>
      <c r="N5" s="5">
        <f>8368/2</f>
        <v>4184</v>
      </c>
      <c r="O5" s="5">
        <f>8556/2</f>
        <v>4278</v>
      </c>
      <c r="P5" s="8">
        <f t="shared" si="2"/>
        <v>4183.4553571428569</v>
      </c>
      <c r="Q5" s="8">
        <f t="shared" si="3"/>
        <v>4203.4434523809523</v>
      </c>
      <c r="R5" s="12">
        <f t="shared" si="4"/>
        <v>4.183455357142857</v>
      </c>
    </row>
    <row r="6" spans="1:18" x14ac:dyDescent="0.2">
      <c r="A6" s="5" t="s">
        <v>11</v>
      </c>
      <c r="B6" s="5">
        <f>9177/2</f>
        <v>4588.5</v>
      </c>
      <c r="C6" s="5">
        <f>9318/2</f>
        <v>4659</v>
      </c>
      <c r="D6" s="5">
        <f>9678/2</f>
        <v>4839</v>
      </c>
      <c r="E6" s="5">
        <f>9079/2</f>
        <v>4539.5</v>
      </c>
      <c r="F6" s="8">
        <f t="shared" si="0"/>
        <v>4656.5</v>
      </c>
      <c r="G6" s="5">
        <f>9544/2</f>
        <v>4772</v>
      </c>
      <c r="H6" s="5">
        <f>9693/2</f>
        <v>4846.5</v>
      </c>
      <c r="I6" s="5">
        <f>9491/2</f>
        <v>4745.5</v>
      </c>
      <c r="J6" s="5">
        <f>9946/2</f>
        <v>4973</v>
      </c>
      <c r="K6" s="8">
        <f t="shared" si="1"/>
        <v>4834.25</v>
      </c>
      <c r="L6" s="5">
        <f>9055/2</f>
        <v>4527.5</v>
      </c>
      <c r="M6" s="5">
        <f>8902/2</f>
        <v>4451</v>
      </c>
      <c r="N6" s="5">
        <f>9338/2</f>
        <v>4669</v>
      </c>
      <c r="O6" s="5">
        <f>9726/2</f>
        <v>4863</v>
      </c>
      <c r="P6" s="8">
        <f t="shared" si="2"/>
        <v>4711.7321428571431</v>
      </c>
      <c r="Q6" s="8">
        <f t="shared" si="3"/>
        <v>4734.1607142857147</v>
      </c>
      <c r="R6" s="12">
        <f t="shared" si="4"/>
        <v>4.7117321428571435</v>
      </c>
    </row>
    <row r="7" spans="1:18" x14ac:dyDescent="0.2">
      <c r="A7" s="5" t="s">
        <v>12</v>
      </c>
      <c r="B7" s="5">
        <f>10259/2</f>
        <v>5129.5</v>
      </c>
      <c r="C7" s="5">
        <f>10590/2</f>
        <v>5295</v>
      </c>
      <c r="D7" s="5">
        <f>10471/2</f>
        <v>5235.5</v>
      </c>
      <c r="E7" s="5">
        <f>10409/2</f>
        <v>5204.5</v>
      </c>
      <c r="F7" s="8">
        <f t="shared" si="0"/>
        <v>5216.125</v>
      </c>
      <c r="G7" s="5">
        <f>10287/2</f>
        <v>5143.5</v>
      </c>
      <c r="H7" s="5">
        <f>10439/2</f>
        <v>5219.5</v>
      </c>
      <c r="I7" s="5">
        <f>10532/2</f>
        <v>5266</v>
      </c>
      <c r="J7" s="5">
        <f>11144/2</f>
        <v>5572</v>
      </c>
      <c r="K7" s="8">
        <f t="shared" si="1"/>
        <v>5300.25</v>
      </c>
      <c r="L7" s="5">
        <f>9851/2</f>
        <v>4925.5</v>
      </c>
      <c r="M7" s="5">
        <f>9927/2</f>
        <v>4963.5</v>
      </c>
      <c r="N7" s="5">
        <f>9852/2</f>
        <v>4926</v>
      </c>
      <c r="O7" s="5">
        <f>11242/2</f>
        <v>5621</v>
      </c>
      <c r="P7" s="8">
        <f t="shared" si="2"/>
        <v>5215.5625</v>
      </c>
      <c r="Q7" s="8">
        <f t="shared" si="3"/>
        <v>5243.979166666667</v>
      </c>
      <c r="R7" s="12">
        <f t="shared" si="4"/>
        <v>5.2155624999999999</v>
      </c>
    </row>
    <row r="9" spans="1:18" ht="20" x14ac:dyDescent="0.2">
      <c r="A9" s="2" t="s">
        <v>8</v>
      </c>
      <c r="B9" s="11" t="s">
        <v>0</v>
      </c>
      <c r="C9" s="11"/>
      <c r="D9" s="11"/>
      <c r="E9" s="11"/>
      <c r="F9" s="9"/>
      <c r="G9" s="11" t="s">
        <v>9</v>
      </c>
      <c r="H9" s="11"/>
      <c r="I9" s="11"/>
      <c r="J9" s="11"/>
      <c r="K9" s="9"/>
      <c r="L9" s="11" t="s">
        <v>10</v>
      </c>
      <c r="M9" s="11"/>
      <c r="N9" s="11"/>
      <c r="O9" s="11"/>
    </row>
    <row r="10" spans="1:18" x14ac:dyDescent="0.2">
      <c r="A10" s="6"/>
      <c r="B10" s="6" t="s">
        <v>2</v>
      </c>
      <c r="C10" s="6" t="s">
        <v>3</v>
      </c>
      <c r="D10" s="6" t="s">
        <v>4</v>
      </c>
      <c r="E10" s="6" t="s">
        <v>5</v>
      </c>
      <c r="F10" s="9" t="s">
        <v>14</v>
      </c>
      <c r="G10" s="6" t="s">
        <v>2</v>
      </c>
      <c r="H10" s="6" t="s">
        <v>3</v>
      </c>
      <c r="I10" s="6" t="s">
        <v>4</v>
      </c>
      <c r="J10" s="6" t="s">
        <v>5</v>
      </c>
      <c r="K10" s="9" t="s">
        <v>14</v>
      </c>
      <c r="L10" s="6" t="s">
        <v>2</v>
      </c>
      <c r="M10" s="6" t="s">
        <v>3</v>
      </c>
      <c r="N10" s="6" t="s">
        <v>4</v>
      </c>
      <c r="O10" s="6" t="s">
        <v>5</v>
      </c>
      <c r="P10" s="9" t="s">
        <v>14</v>
      </c>
      <c r="Q10" s="9" t="s">
        <v>20</v>
      </c>
    </row>
    <row r="11" spans="1:18" x14ac:dyDescent="0.2">
      <c r="A11" s="6" t="s">
        <v>6</v>
      </c>
      <c r="B11" s="6">
        <v>0</v>
      </c>
      <c r="C11" s="6">
        <v>0</v>
      </c>
      <c r="D11" s="6">
        <v>0</v>
      </c>
      <c r="E11" s="6">
        <v>0</v>
      </c>
      <c r="F11" s="9">
        <f>AVERAGE(B11:E11)</f>
        <v>0</v>
      </c>
      <c r="G11" s="6">
        <v>0</v>
      </c>
      <c r="H11" s="6">
        <v>0</v>
      </c>
      <c r="I11" s="6">
        <v>0</v>
      </c>
      <c r="J11" s="6">
        <v>0</v>
      </c>
      <c r="K11" s="9">
        <f>AVERAGE(G11:J11)</f>
        <v>0</v>
      </c>
      <c r="L11" s="6">
        <v>0</v>
      </c>
      <c r="M11" s="6">
        <v>0</v>
      </c>
      <c r="N11" s="6">
        <v>0</v>
      </c>
      <c r="O11" s="6">
        <v>0</v>
      </c>
      <c r="P11" s="9">
        <f>AVERAGE(L11:O11)</f>
        <v>0</v>
      </c>
      <c r="Q11" s="9">
        <f>AVERAGE(F11,K11,P11)</f>
        <v>0</v>
      </c>
    </row>
    <row r="12" spans="1:18" x14ac:dyDescent="0.2">
      <c r="A12" s="6" t="s">
        <v>1</v>
      </c>
      <c r="B12" s="6">
        <v>7</v>
      </c>
      <c r="C12" s="6">
        <v>7</v>
      </c>
      <c r="D12" s="6">
        <v>10</v>
      </c>
      <c r="E12" s="6">
        <v>8</v>
      </c>
      <c r="F12" s="9">
        <f t="shared" ref="F12:F15" si="5">AVERAGE(B12:E12)</f>
        <v>8</v>
      </c>
      <c r="G12" s="6">
        <v>9</v>
      </c>
      <c r="H12" s="6">
        <v>9</v>
      </c>
      <c r="I12" s="6">
        <v>9</v>
      </c>
      <c r="J12" s="6">
        <v>8</v>
      </c>
      <c r="K12" s="9">
        <f t="shared" ref="K12:K15" si="6">AVERAGE(G12:J12)</f>
        <v>8.75</v>
      </c>
      <c r="L12" s="6">
        <v>10</v>
      </c>
      <c r="M12" s="7">
        <v>8</v>
      </c>
      <c r="N12" s="6">
        <v>9</v>
      </c>
      <c r="O12" s="6">
        <v>8</v>
      </c>
      <c r="P12" s="9">
        <f t="shared" ref="P12:P15" si="7">AVERAGE(L12:O12)</f>
        <v>8.75</v>
      </c>
      <c r="Q12" s="9">
        <f>AVERAGE(F12,K12,P12)</f>
        <v>8.5</v>
      </c>
    </row>
    <row r="13" spans="1:18" x14ac:dyDescent="0.2">
      <c r="A13" s="6" t="s">
        <v>7</v>
      </c>
      <c r="B13" s="6">
        <v>7</v>
      </c>
      <c r="C13" s="6">
        <v>6</v>
      </c>
      <c r="D13" s="6">
        <v>8</v>
      </c>
      <c r="E13" s="6">
        <v>6</v>
      </c>
      <c r="F13" s="9">
        <f t="shared" si="5"/>
        <v>6.75</v>
      </c>
      <c r="G13" s="6">
        <v>7</v>
      </c>
      <c r="H13" s="6">
        <v>6</v>
      </c>
      <c r="I13" s="6">
        <v>8</v>
      </c>
      <c r="J13" s="6">
        <v>7</v>
      </c>
      <c r="K13" s="9">
        <f t="shared" si="6"/>
        <v>7</v>
      </c>
      <c r="L13" s="6">
        <v>9</v>
      </c>
      <c r="M13" s="6">
        <v>8</v>
      </c>
      <c r="N13" s="6">
        <v>9</v>
      </c>
      <c r="O13" s="6">
        <v>6</v>
      </c>
      <c r="P13" s="9">
        <f t="shared" si="7"/>
        <v>8</v>
      </c>
      <c r="Q13" s="9">
        <f t="shared" ref="Q13:Q15" si="8">AVERAGE(F13,K13,P13)</f>
        <v>7.25</v>
      </c>
    </row>
    <row r="14" spans="1:18" x14ac:dyDescent="0.2">
      <c r="A14" s="6" t="s">
        <v>11</v>
      </c>
      <c r="B14" s="6">
        <v>6</v>
      </c>
      <c r="C14" s="6">
        <v>10</v>
      </c>
      <c r="D14" s="6">
        <v>8</v>
      </c>
      <c r="E14" s="6">
        <v>7</v>
      </c>
      <c r="F14" s="9">
        <f t="shared" si="5"/>
        <v>7.75</v>
      </c>
      <c r="G14" s="6">
        <v>6</v>
      </c>
      <c r="H14" s="6">
        <v>7</v>
      </c>
      <c r="I14" s="6">
        <v>8</v>
      </c>
      <c r="J14" s="6">
        <v>7</v>
      </c>
      <c r="K14" s="9">
        <f t="shared" si="6"/>
        <v>7</v>
      </c>
      <c r="L14" s="6">
        <v>7</v>
      </c>
      <c r="M14" s="6">
        <v>8</v>
      </c>
      <c r="N14" s="6">
        <v>10</v>
      </c>
      <c r="O14" s="6">
        <v>7</v>
      </c>
      <c r="P14" s="9">
        <f t="shared" si="7"/>
        <v>8</v>
      </c>
      <c r="Q14" s="9">
        <f t="shared" si="8"/>
        <v>7.583333333333333</v>
      </c>
    </row>
    <row r="15" spans="1:18" x14ac:dyDescent="0.2">
      <c r="A15" s="6" t="s">
        <v>12</v>
      </c>
      <c r="B15" s="6">
        <v>5</v>
      </c>
      <c r="C15" s="6">
        <v>8</v>
      </c>
      <c r="D15" s="6">
        <v>6</v>
      </c>
      <c r="E15" s="6">
        <v>3</v>
      </c>
      <c r="F15" s="9">
        <f t="shared" si="5"/>
        <v>5.5</v>
      </c>
      <c r="G15" s="6">
        <v>5</v>
      </c>
      <c r="H15" s="6">
        <v>6</v>
      </c>
      <c r="I15" s="6">
        <v>7</v>
      </c>
      <c r="J15" s="6">
        <v>6</v>
      </c>
      <c r="K15" s="9">
        <f t="shared" si="6"/>
        <v>6</v>
      </c>
      <c r="L15" s="6">
        <v>5</v>
      </c>
      <c r="M15" s="6">
        <v>8</v>
      </c>
      <c r="N15" s="6">
        <v>9</v>
      </c>
      <c r="O15" s="6">
        <v>4</v>
      </c>
      <c r="P15" s="9">
        <f t="shared" si="7"/>
        <v>6.5</v>
      </c>
      <c r="Q15" s="9">
        <f t="shared" si="8"/>
        <v>6</v>
      </c>
    </row>
    <row r="19" spans="1:17" ht="20" x14ac:dyDescent="0.2">
      <c r="A19" s="3" t="s">
        <v>8</v>
      </c>
      <c r="B19" s="4" t="s">
        <v>0</v>
      </c>
      <c r="C19" s="4"/>
      <c r="D19" s="4"/>
      <c r="E19" s="4"/>
      <c r="F19" s="4"/>
      <c r="G19" s="4" t="s">
        <v>9</v>
      </c>
      <c r="H19" s="4"/>
      <c r="I19" s="4"/>
      <c r="J19" s="4"/>
      <c r="K19" s="4"/>
      <c r="L19" s="4" t="s">
        <v>10</v>
      </c>
      <c r="M19" s="4"/>
      <c r="N19" s="4"/>
      <c r="O19" s="4"/>
    </row>
    <row r="20" spans="1:17" x14ac:dyDescent="0.2">
      <c r="A20" s="4"/>
      <c r="B20" s="4" t="s">
        <v>2</v>
      </c>
      <c r="C20" s="4" t="s">
        <v>3</v>
      </c>
      <c r="D20" s="4" t="s">
        <v>4</v>
      </c>
      <c r="E20" s="4" t="s">
        <v>5</v>
      </c>
      <c r="F20" s="4" t="s">
        <v>14</v>
      </c>
      <c r="G20" s="4" t="s">
        <v>2</v>
      </c>
      <c r="H20" s="4" t="s">
        <v>3</v>
      </c>
      <c r="I20" s="4" t="s">
        <v>4</v>
      </c>
      <c r="J20" s="4" t="s">
        <v>5</v>
      </c>
      <c r="K20" s="4" t="s">
        <v>14</v>
      </c>
      <c r="L20" s="4" t="s">
        <v>2</v>
      </c>
      <c r="M20" s="4" t="s">
        <v>3</v>
      </c>
      <c r="N20" s="4" t="s">
        <v>4</v>
      </c>
      <c r="O20" s="4" t="s">
        <v>5</v>
      </c>
      <c r="P20" s="4" t="s">
        <v>14</v>
      </c>
      <c r="Q20" s="4" t="s">
        <v>14</v>
      </c>
    </row>
    <row r="21" spans="1:17" x14ac:dyDescent="0.2">
      <c r="A21" s="4" t="s">
        <v>6</v>
      </c>
      <c r="B21" s="4">
        <v>0</v>
      </c>
      <c r="C21" s="4">
        <v>0</v>
      </c>
      <c r="D21" s="4">
        <v>0</v>
      </c>
      <c r="E21" s="4">
        <v>0</v>
      </c>
      <c r="F21" s="4">
        <f>AVERAGE(B21:E21)</f>
        <v>0</v>
      </c>
      <c r="G21" s="4">
        <v>0</v>
      </c>
      <c r="H21" s="4">
        <v>0</v>
      </c>
      <c r="I21" s="4">
        <v>0</v>
      </c>
      <c r="J21" s="4">
        <v>0</v>
      </c>
      <c r="K21" s="4">
        <f>AVERAGE(G21:J21)</f>
        <v>0</v>
      </c>
      <c r="L21" s="4">
        <v>0</v>
      </c>
      <c r="M21" s="4">
        <v>0</v>
      </c>
      <c r="N21" s="4">
        <v>0</v>
      </c>
      <c r="O21" s="4">
        <v>0</v>
      </c>
      <c r="P21" s="4">
        <f>AVERAGE(B21:O21)</f>
        <v>0</v>
      </c>
      <c r="Q21" s="4">
        <f>AVERAGE(F21,K21,P21)</f>
        <v>0</v>
      </c>
    </row>
    <row r="22" spans="1:17" x14ac:dyDescent="0.2">
      <c r="A22" s="4" t="s">
        <v>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">
      <c r="A23" s="4" t="s">
        <v>7</v>
      </c>
      <c r="B23" s="4">
        <v>6</v>
      </c>
      <c r="C23" s="4">
        <v>5</v>
      </c>
      <c r="D23" s="4">
        <v>7</v>
      </c>
      <c r="E23" s="4">
        <v>6</v>
      </c>
      <c r="F23" s="4">
        <f t="shared" ref="F23:F25" si="9">AVERAGE(B23:E23)</f>
        <v>6</v>
      </c>
      <c r="G23" s="4">
        <v>7</v>
      </c>
      <c r="H23" s="4">
        <v>6</v>
      </c>
      <c r="I23" s="4">
        <v>9</v>
      </c>
      <c r="J23" s="4">
        <v>7</v>
      </c>
      <c r="K23" s="4">
        <f t="shared" ref="K23:K25" si="10">AVERAGE(G23:J23)</f>
        <v>7.25</v>
      </c>
      <c r="L23" s="4">
        <v>9</v>
      </c>
      <c r="M23" s="4">
        <v>7</v>
      </c>
      <c r="N23" s="4">
        <v>8</v>
      </c>
      <c r="O23" s="4">
        <v>6</v>
      </c>
      <c r="P23" s="4">
        <f>AVERAGE(L23:O23)</f>
        <v>7.5</v>
      </c>
      <c r="Q23" s="4">
        <f>AVERAGE(F23,K23,P23)</f>
        <v>6.916666666666667</v>
      </c>
    </row>
    <row r="24" spans="1:17" x14ac:dyDescent="0.2">
      <c r="A24" s="4" t="s">
        <v>11</v>
      </c>
      <c r="B24" s="4">
        <v>6</v>
      </c>
      <c r="C24" s="4">
        <v>10</v>
      </c>
      <c r="D24" s="4">
        <v>7</v>
      </c>
      <c r="E24" s="4">
        <v>7</v>
      </c>
      <c r="F24" s="4">
        <f t="shared" si="9"/>
        <v>7.5</v>
      </c>
      <c r="G24" s="4">
        <v>6</v>
      </c>
      <c r="H24" s="4">
        <v>7</v>
      </c>
      <c r="I24" s="4">
        <v>9</v>
      </c>
      <c r="J24" s="4">
        <v>7</v>
      </c>
      <c r="K24" s="4">
        <f t="shared" si="10"/>
        <v>7.25</v>
      </c>
      <c r="L24" s="4">
        <v>6</v>
      </c>
      <c r="M24" s="4">
        <v>7</v>
      </c>
      <c r="N24" s="4">
        <v>9</v>
      </c>
      <c r="O24" s="4">
        <v>7</v>
      </c>
      <c r="P24" s="4">
        <f t="shared" ref="P24:P25" si="11">AVERAGE(L24:O24)</f>
        <v>7.25</v>
      </c>
      <c r="Q24" s="4">
        <f>AVERAGE(F24,K24,P24)</f>
        <v>7.333333333333333</v>
      </c>
    </row>
    <row r="25" spans="1:17" x14ac:dyDescent="0.2">
      <c r="A25" s="4" t="s">
        <v>12</v>
      </c>
      <c r="B25" s="4">
        <v>5</v>
      </c>
      <c r="C25" s="4">
        <v>8</v>
      </c>
      <c r="D25" s="4">
        <v>6</v>
      </c>
      <c r="E25" s="4">
        <v>3</v>
      </c>
      <c r="F25" s="4">
        <f t="shared" si="9"/>
        <v>5.5</v>
      </c>
      <c r="G25" s="4">
        <v>5</v>
      </c>
      <c r="H25" s="4">
        <v>6</v>
      </c>
      <c r="I25" s="4">
        <v>8</v>
      </c>
      <c r="J25" s="4">
        <v>6</v>
      </c>
      <c r="K25" s="4">
        <f t="shared" si="10"/>
        <v>6.25</v>
      </c>
      <c r="L25" s="4">
        <v>5</v>
      </c>
      <c r="M25" s="4">
        <v>7</v>
      </c>
      <c r="N25" s="4">
        <v>8</v>
      </c>
      <c r="O25" s="4">
        <v>4</v>
      </c>
      <c r="P25" s="4">
        <f t="shared" si="11"/>
        <v>6</v>
      </c>
      <c r="Q25" s="4">
        <f>AVERAGE(F25,K25,P25)</f>
        <v>5.916666666666667</v>
      </c>
    </row>
  </sheetData>
  <mergeCells count="6">
    <mergeCell ref="B9:E9"/>
    <mergeCell ref="G9:J9"/>
    <mergeCell ref="L9:O9"/>
    <mergeCell ref="B1:E1"/>
    <mergeCell ref="G1:J1"/>
    <mergeCell ref="L1:O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5"/>
  <sheetViews>
    <sheetView tabSelected="1" workbookViewId="0">
      <selection activeCell="Q21" sqref="Q21:Q25"/>
    </sheetView>
  </sheetViews>
  <sheetFormatPr baseColWidth="10" defaultColWidth="9.1640625" defaultRowHeight="18" x14ac:dyDescent="0.2"/>
  <cols>
    <col min="1" max="1" width="22.33203125" style="5" customWidth="1"/>
    <col min="2" max="5" width="9.1640625" style="5"/>
    <col min="6" max="6" width="9.1640625" style="8"/>
    <col min="7" max="10" width="9.1640625" style="5"/>
    <col min="11" max="11" width="9.1640625" style="8"/>
    <col min="12" max="15" width="9.1640625" style="5"/>
    <col min="16" max="16" width="9.1640625" style="8"/>
    <col min="17" max="17" width="9.1640625" style="5" customWidth="1"/>
    <col min="18" max="18" width="16.6640625" style="5" customWidth="1"/>
    <col min="19" max="16384" width="9.1640625" style="5"/>
  </cols>
  <sheetData>
    <row r="1" spans="1:18" ht="20" x14ac:dyDescent="0.2">
      <c r="A1" s="1" t="s">
        <v>13</v>
      </c>
      <c r="B1" s="10" t="s">
        <v>0</v>
      </c>
      <c r="C1" s="10"/>
      <c r="D1" s="10"/>
      <c r="E1" s="10"/>
      <c r="G1" s="10" t="s">
        <v>9</v>
      </c>
      <c r="H1" s="10"/>
      <c r="I1" s="10"/>
      <c r="J1" s="10"/>
      <c r="L1" s="10" t="s">
        <v>10</v>
      </c>
      <c r="M1" s="10"/>
      <c r="N1" s="10"/>
      <c r="O1" s="10"/>
    </row>
    <row r="2" spans="1:18" x14ac:dyDescent="0.2">
      <c r="B2" s="5" t="s">
        <v>2</v>
      </c>
      <c r="C2" s="5" t="s">
        <v>3</v>
      </c>
      <c r="D2" s="5" t="s">
        <v>4</v>
      </c>
      <c r="E2" s="5" t="s">
        <v>5</v>
      </c>
      <c r="F2" s="8" t="s">
        <v>14</v>
      </c>
      <c r="G2" s="5" t="s">
        <v>2</v>
      </c>
      <c r="H2" s="5" t="s">
        <v>3</v>
      </c>
      <c r="I2" s="5" t="s">
        <v>4</v>
      </c>
      <c r="J2" s="5" t="s">
        <v>5</v>
      </c>
      <c r="K2" s="8" t="s">
        <v>14</v>
      </c>
      <c r="L2" s="5" t="s">
        <v>2</v>
      </c>
      <c r="M2" s="5" t="s">
        <v>3</v>
      </c>
      <c r="N2" s="5" t="s">
        <v>4</v>
      </c>
      <c r="O2" s="5" t="s">
        <v>5</v>
      </c>
      <c r="P2" s="8" t="s">
        <v>14</v>
      </c>
      <c r="Q2" s="5" t="s">
        <v>14</v>
      </c>
      <c r="R2" s="5" t="s">
        <v>15</v>
      </c>
    </row>
    <row r="3" spans="1:18" x14ac:dyDescent="0.2">
      <c r="A3" s="5" t="s">
        <v>6</v>
      </c>
      <c r="B3" s="5">
        <f>6695/2</f>
        <v>3347.5</v>
      </c>
      <c r="C3" s="5">
        <f>6978/2</f>
        <v>3489</v>
      </c>
      <c r="D3" s="5">
        <f>6670/2</f>
        <v>3335</v>
      </c>
      <c r="E3" s="5">
        <f>6733/2</f>
        <v>3366.5</v>
      </c>
      <c r="F3" s="8">
        <f>AVERAGE(B3:E3)</f>
        <v>3384.5</v>
      </c>
      <c r="G3" s="5">
        <f>6838/2</f>
        <v>3419</v>
      </c>
      <c r="H3" s="5">
        <f>7041/2</f>
        <v>3520.5</v>
      </c>
      <c r="I3" s="5">
        <f>6962/2</f>
        <v>3481</v>
      </c>
      <c r="J3" s="5">
        <f>6809/2</f>
        <v>3404.5</v>
      </c>
      <c r="K3" s="8">
        <f>AVERAGE(G3:J3)</f>
        <v>3456.25</v>
      </c>
      <c r="L3" s="5">
        <f>6923/2</f>
        <v>3461.5</v>
      </c>
      <c r="M3" s="5">
        <f>6902/2</f>
        <v>3451</v>
      </c>
      <c r="N3" s="5">
        <f>6605/2</f>
        <v>3302.5</v>
      </c>
      <c r="O3" s="5">
        <f>6428/2</f>
        <v>3214</v>
      </c>
      <c r="P3" s="8">
        <f>AVERAGE(L3:O3)</f>
        <v>3357.25</v>
      </c>
      <c r="Q3" s="5">
        <f>AVERAGE(F3,K3,P3)</f>
        <v>3399.3333333333335</v>
      </c>
      <c r="R3" s="12">
        <f>(Q3)/1000</f>
        <v>3.3993333333333333</v>
      </c>
    </row>
    <row r="4" spans="1:18" x14ac:dyDescent="0.2">
      <c r="A4" s="5" t="s">
        <v>1</v>
      </c>
      <c r="B4" s="5">
        <f>8423/2</f>
        <v>4211.5</v>
      </c>
      <c r="C4" s="5">
        <f>8651/2</f>
        <v>4325.5</v>
      </c>
      <c r="D4" s="5">
        <f>8382/2</f>
        <v>4191</v>
      </c>
      <c r="E4" s="5">
        <f>8183/2</f>
        <v>4091.5</v>
      </c>
      <c r="F4" s="8">
        <f t="shared" ref="F4:F7" si="0">AVERAGE(B4:E4)</f>
        <v>4204.875</v>
      </c>
      <c r="G4" s="5">
        <f>8793/2</f>
        <v>4396.5</v>
      </c>
      <c r="H4" s="5">
        <f>8507/2</f>
        <v>4253.5</v>
      </c>
      <c r="I4" s="5">
        <f>8961/2</f>
        <v>4480.5</v>
      </c>
      <c r="J4" s="5">
        <f>8451/2</f>
        <v>4225.5</v>
      </c>
      <c r="K4" s="8">
        <f t="shared" ref="K4:K7" si="1">AVERAGE(G4:J4)</f>
        <v>4339</v>
      </c>
      <c r="L4" s="5">
        <f>8882/2</f>
        <v>4441</v>
      </c>
      <c r="M4" s="5">
        <f>8852/2</f>
        <v>4426</v>
      </c>
      <c r="N4" s="5">
        <f>8598/2</f>
        <v>4299</v>
      </c>
      <c r="O4" s="5">
        <f>8325/2</f>
        <v>4162.5</v>
      </c>
      <c r="P4" s="8">
        <f t="shared" ref="P4:P7" si="2">AVERAGE(L4:O4)</f>
        <v>4332.125</v>
      </c>
      <c r="Q4" s="8">
        <f t="shared" ref="Q4:Q7" si="3">AVERAGE(F4,K4,P4)</f>
        <v>4292</v>
      </c>
      <c r="R4" s="12">
        <f t="shared" ref="R4:R7" si="4">(Q4)/1000</f>
        <v>4.2919999999999998</v>
      </c>
    </row>
    <row r="5" spans="1:18" x14ac:dyDescent="0.2">
      <c r="A5" s="5" t="s">
        <v>7</v>
      </c>
      <c r="B5" s="5">
        <f>9722/2</f>
        <v>4861</v>
      </c>
      <c r="C5" s="5">
        <f>9602/2</f>
        <v>4801</v>
      </c>
      <c r="D5" s="5">
        <f>9424/2</f>
        <v>4712</v>
      </c>
      <c r="E5" s="5">
        <f>9221/2</f>
        <v>4610.5</v>
      </c>
      <c r="F5" s="8">
        <f t="shared" si="0"/>
        <v>4746.125</v>
      </c>
      <c r="G5" s="5">
        <f>9852/2</f>
        <v>4926</v>
      </c>
      <c r="H5" s="5">
        <f>9820/2</f>
        <v>4910</v>
      </c>
      <c r="I5" s="5">
        <f>9932/2</f>
        <v>4966</v>
      </c>
      <c r="J5" s="5">
        <f>9579/2</f>
        <v>4789.5</v>
      </c>
      <c r="K5" s="8">
        <f t="shared" si="1"/>
        <v>4897.875</v>
      </c>
      <c r="L5" s="5">
        <f>9821/2</f>
        <v>4910.5</v>
      </c>
      <c r="M5" s="5">
        <f>9816/2</f>
        <v>4908</v>
      </c>
      <c r="N5" s="5">
        <f>9679/2</f>
        <v>4839.5</v>
      </c>
      <c r="O5" s="5">
        <f>9234/2</f>
        <v>4617</v>
      </c>
      <c r="P5" s="8">
        <f t="shared" si="2"/>
        <v>4818.75</v>
      </c>
      <c r="Q5" s="8">
        <f t="shared" si="3"/>
        <v>4820.916666666667</v>
      </c>
      <c r="R5" s="12">
        <f t="shared" si="4"/>
        <v>4.8209166666666672</v>
      </c>
    </row>
    <row r="6" spans="1:18" x14ac:dyDescent="0.2">
      <c r="A6" s="5" t="s">
        <v>11</v>
      </c>
      <c r="B6" s="5">
        <f>11250/2</f>
        <v>5625</v>
      </c>
      <c r="C6" s="5">
        <f>11343/2</f>
        <v>5671.5</v>
      </c>
      <c r="D6" s="5">
        <f>11014/2</f>
        <v>5507</v>
      </c>
      <c r="E6" s="5">
        <f>10821/2</f>
        <v>5410.5</v>
      </c>
      <c r="F6" s="8">
        <f t="shared" si="0"/>
        <v>5553.5</v>
      </c>
      <c r="G6" s="5">
        <f>11485/2</f>
        <v>5742.5</v>
      </c>
      <c r="H6" s="5">
        <f>11444/2</f>
        <v>5722</v>
      </c>
      <c r="I6" s="5">
        <f>11700/2</f>
        <v>5850</v>
      </c>
      <c r="J6" s="5">
        <f>11092/2</f>
        <v>5546</v>
      </c>
      <c r="K6" s="8">
        <f t="shared" si="1"/>
        <v>5715.125</v>
      </c>
      <c r="L6" s="5">
        <f>11772/2</f>
        <v>5886</v>
      </c>
      <c r="M6" s="5">
        <f>11496/2</f>
        <v>5748</v>
      </c>
      <c r="N6" s="5">
        <f>11133/2</f>
        <v>5566.5</v>
      </c>
      <c r="O6" s="5">
        <f>10782/2</f>
        <v>5391</v>
      </c>
      <c r="P6" s="8">
        <f t="shared" si="2"/>
        <v>5647.875</v>
      </c>
      <c r="Q6" s="8">
        <f t="shared" si="3"/>
        <v>5638.833333333333</v>
      </c>
      <c r="R6" s="12">
        <f t="shared" si="4"/>
        <v>5.6388333333333334</v>
      </c>
    </row>
    <row r="7" spans="1:18" x14ac:dyDescent="0.2">
      <c r="A7" s="5" t="s">
        <v>12</v>
      </c>
      <c r="B7" s="5">
        <f>12557/2</f>
        <v>6278.5</v>
      </c>
      <c r="C7" s="5">
        <f>12000/2</f>
        <v>6000</v>
      </c>
      <c r="D7" s="5">
        <f>11473/2</f>
        <v>5736.5</v>
      </c>
      <c r="E7" s="5">
        <f>11588/2</f>
        <v>5794</v>
      </c>
      <c r="F7" s="8">
        <f t="shared" si="0"/>
        <v>5952.25</v>
      </c>
      <c r="G7" s="5">
        <f>12280/2</f>
        <v>6140</v>
      </c>
      <c r="H7" s="5">
        <f>12008/2</f>
        <v>6004</v>
      </c>
      <c r="I7" s="5">
        <f>12328/2</f>
        <v>6164</v>
      </c>
      <c r="J7" s="5">
        <f>11683/2</f>
        <v>5841.5</v>
      </c>
      <c r="K7" s="8">
        <f t="shared" si="1"/>
        <v>6037.375</v>
      </c>
      <c r="L7" s="5">
        <f>12387/2</f>
        <v>6193.5</v>
      </c>
      <c r="M7" s="5">
        <f>12016/2</f>
        <v>6008</v>
      </c>
      <c r="N7" s="5">
        <f>11764/2</f>
        <v>5882</v>
      </c>
      <c r="O7" s="5">
        <f>11644/2</f>
        <v>5822</v>
      </c>
      <c r="P7" s="8">
        <f t="shared" si="2"/>
        <v>5976.375</v>
      </c>
      <c r="Q7" s="8">
        <f t="shared" si="3"/>
        <v>5988.666666666667</v>
      </c>
      <c r="R7" s="12">
        <f t="shared" si="4"/>
        <v>5.988666666666667</v>
      </c>
    </row>
    <row r="9" spans="1:18" ht="20" x14ac:dyDescent="0.2">
      <c r="A9" s="2" t="s">
        <v>8</v>
      </c>
      <c r="B9" s="11" t="s">
        <v>0</v>
      </c>
      <c r="C9" s="11"/>
      <c r="D9" s="11"/>
      <c r="E9" s="11"/>
      <c r="F9" s="9"/>
      <c r="G9" s="11" t="s">
        <v>9</v>
      </c>
      <c r="H9" s="11"/>
      <c r="I9" s="11"/>
      <c r="J9" s="11"/>
      <c r="K9" s="9"/>
      <c r="L9" s="11" t="s">
        <v>10</v>
      </c>
      <c r="M9" s="11"/>
      <c r="N9" s="11"/>
      <c r="O9" s="11"/>
      <c r="P9" s="9"/>
    </row>
    <row r="10" spans="1:18" x14ac:dyDescent="0.2">
      <c r="A10" s="6"/>
      <c r="B10" s="6" t="s">
        <v>2</v>
      </c>
      <c r="C10" s="6" t="s">
        <v>3</v>
      </c>
      <c r="D10" s="6" t="s">
        <v>4</v>
      </c>
      <c r="E10" s="6" t="s">
        <v>5</v>
      </c>
      <c r="F10" s="9" t="s">
        <v>14</v>
      </c>
      <c r="G10" s="6" t="s">
        <v>2</v>
      </c>
      <c r="H10" s="6" t="s">
        <v>3</v>
      </c>
      <c r="I10" s="6" t="s">
        <v>4</v>
      </c>
      <c r="J10" s="6" t="s">
        <v>5</v>
      </c>
      <c r="K10" s="9" t="s">
        <v>14</v>
      </c>
      <c r="L10" s="6" t="s">
        <v>2</v>
      </c>
      <c r="M10" s="6" t="s">
        <v>3</v>
      </c>
      <c r="N10" s="6" t="s">
        <v>4</v>
      </c>
      <c r="O10" s="9" t="s">
        <v>5</v>
      </c>
      <c r="P10" s="9" t="s">
        <v>14</v>
      </c>
      <c r="Q10" s="9" t="s">
        <v>14</v>
      </c>
    </row>
    <row r="11" spans="1:18" x14ac:dyDescent="0.2">
      <c r="A11" s="6" t="s">
        <v>6</v>
      </c>
      <c r="B11" s="6">
        <v>0</v>
      </c>
      <c r="C11" s="6">
        <v>0</v>
      </c>
      <c r="D11" s="6">
        <v>0</v>
      </c>
      <c r="E11" s="6">
        <v>0</v>
      </c>
      <c r="F11" s="9">
        <f>AVERAGE(B11:E11)</f>
        <v>0</v>
      </c>
      <c r="G11" s="6">
        <v>0</v>
      </c>
      <c r="H11" s="6">
        <v>0</v>
      </c>
      <c r="I11" s="6">
        <v>0</v>
      </c>
      <c r="J11" s="6">
        <v>0</v>
      </c>
      <c r="K11" s="9">
        <f>AVERAGE(G11:J11)</f>
        <v>0</v>
      </c>
      <c r="L11" s="6">
        <v>0</v>
      </c>
      <c r="M11" s="6">
        <v>0</v>
      </c>
      <c r="N11" s="6">
        <v>0</v>
      </c>
      <c r="O11" s="9">
        <v>0</v>
      </c>
      <c r="P11" s="9">
        <f>AVERAGE(L11:O11)</f>
        <v>0</v>
      </c>
      <c r="Q11" s="9">
        <f>AVERAGE(B11:N11)</f>
        <v>0</v>
      </c>
    </row>
    <row r="12" spans="1:18" x14ac:dyDescent="0.2">
      <c r="A12" s="6" t="s">
        <v>1</v>
      </c>
      <c r="B12" s="6">
        <v>13</v>
      </c>
      <c r="C12" s="6">
        <v>9</v>
      </c>
      <c r="D12" s="6">
        <v>12</v>
      </c>
      <c r="E12" s="6">
        <v>9</v>
      </c>
      <c r="F12" s="9">
        <f t="shared" ref="F12:F15" si="5">AVERAGE(B12:E12)</f>
        <v>10.75</v>
      </c>
      <c r="G12" s="6">
        <v>11</v>
      </c>
      <c r="H12" s="6">
        <v>11</v>
      </c>
      <c r="I12" s="6">
        <v>12</v>
      </c>
      <c r="J12" s="6">
        <v>12</v>
      </c>
      <c r="K12" s="9">
        <f t="shared" ref="K12:K15" si="6">AVERAGE(G12:J12)</f>
        <v>11.5</v>
      </c>
      <c r="L12" s="6">
        <v>10</v>
      </c>
      <c r="M12" s="6">
        <v>13</v>
      </c>
      <c r="N12" s="6">
        <v>8</v>
      </c>
      <c r="O12" s="9">
        <v>10</v>
      </c>
      <c r="P12" s="9">
        <f t="shared" ref="P12:P15" si="7">AVERAGE(L12:O12)</f>
        <v>10.25</v>
      </c>
      <c r="Q12" s="9">
        <f>AVERAGE(F12,K12,P12)</f>
        <v>10.833333333333334</v>
      </c>
    </row>
    <row r="13" spans="1:18" x14ac:dyDescent="0.2">
      <c r="A13" s="6" t="s">
        <v>7</v>
      </c>
      <c r="B13" s="6">
        <v>7</v>
      </c>
      <c r="C13" s="6">
        <v>5</v>
      </c>
      <c r="D13" s="6">
        <v>7</v>
      </c>
      <c r="E13" s="6">
        <v>6</v>
      </c>
      <c r="F13" s="9">
        <f t="shared" si="5"/>
        <v>6.25</v>
      </c>
      <c r="G13" s="6">
        <v>9</v>
      </c>
      <c r="H13" s="6">
        <v>6</v>
      </c>
      <c r="I13" s="6">
        <v>7</v>
      </c>
      <c r="J13" s="6">
        <v>11</v>
      </c>
      <c r="K13" s="9">
        <f t="shared" si="6"/>
        <v>8.25</v>
      </c>
      <c r="L13" s="6">
        <v>6</v>
      </c>
      <c r="M13" s="6">
        <v>5</v>
      </c>
      <c r="N13" s="6">
        <v>8</v>
      </c>
      <c r="O13" s="9">
        <v>8</v>
      </c>
      <c r="P13" s="9">
        <f t="shared" si="7"/>
        <v>6.75</v>
      </c>
      <c r="Q13" s="9">
        <f t="shared" ref="Q13:Q15" si="8">AVERAGE(F13,K13,P13)</f>
        <v>7.083333333333333</v>
      </c>
    </row>
    <row r="14" spans="1:18" x14ac:dyDescent="0.2">
      <c r="A14" s="6" t="s">
        <v>11</v>
      </c>
      <c r="B14" s="6">
        <v>8</v>
      </c>
      <c r="C14" s="6">
        <v>9</v>
      </c>
      <c r="D14" s="6">
        <v>10</v>
      </c>
      <c r="E14" s="6">
        <v>7</v>
      </c>
      <c r="F14" s="9">
        <f t="shared" si="5"/>
        <v>8.5</v>
      </c>
      <c r="G14" s="6">
        <v>10</v>
      </c>
      <c r="H14" s="6">
        <v>7</v>
      </c>
      <c r="I14" s="6">
        <v>8</v>
      </c>
      <c r="J14" s="6">
        <v>8</v>
      </c>
      <c r="K14" s="9">
        <f t="shared" si="6"/>
        <v>8.25</v>
      </c>
      <c r="L14" s="6">
        <v>5</v>
      </c>
      <c r="M14" s="6">
        <v>12</v>
      </c>
      <c r="N14" s="6">
        <v>8</v>
      </c>
      <c r="O14" s="9">
        <v>8</v>
      </c>
      <c r="P14" s="9">
        <f t="shared" si="7"/>
        <v>8.25</v>
      </c>
      <c r="Q14" s="9">
        <f t="shared" si="8"/>
        <v>8.3333333333333339</v>
      </c>
    </row>
    <row r="15" spans="1:18" x14ac:dyDescent="0.2">
      <c r="A15" s="6" t="s">
        <v>12</v>
      </c>
      <c r="B15" s="6">
        <v>8</v>
      </c>
      <c r="C15" s="6">
        <v>9</v>
      </c>
      <c r="D15" s="6">
        <v>8</v>
      </c>
      <c r="E15" s="6">
        <v>4</v>
      </c>
      <c r="F15" s="9">
        <f t="shared" si="5"/>
        <v>7.25</v>
      </c>
      <c r="G15" s="6">
        <v>9</v>
      </c>
      <c r="H15" s="6">
        <v>6</v>
      </c>
      <c r="I15" s="6">
        <v>8</v>
      </c>
      <c r="J15" s="6">
        <v>7</v>
      </c>
      <c r="K15" s="9">
        <f t="shared" si="6"/>
        <v>7.5</v>
      </c>
      <c r="L15" s="6">
        <v>4</v>
      </c>
      <c r="M15" s="6">
        <v>10</v>
      </c>
      <c r="N15" s="6">
        <v>7</v>
      </c>
      <c r="O15" s="9">
        <v>6</v>
      </c>
      <c r="P15" s="9">
        <f t="shared" si="7"/>
        <v>6.75</v>
      </c>
      <c r="Q15" s="9">
        <f t="shared" si="8"/>
        <v>7.166666666666667</v>
      </c>
    </row>
    <row r="19" spans="1:17" ht="20" x14ac:dyDescent="0.2">
      <c r="A19" s="3" t="s">
        <v>8</v>
      </c>
      <c r="B19" s="4" t="s">
        <v>0</v>
      </c>
      <c r="C19" s="4"/>
      <c r="D19" s="4"/>
      <c r="E19" s="4"/>
      <c r="F19" s="4"/>
      <c r="G19" s="4" t="s">
        <v>9</v>
      </c>
      <c r="H19" s="4"/>
      <c r="I19" s="4"/>
      <c r="J19" s="4"/>
      <c r="K19" s="4"/>
      <c r="L19" s="4" t="s">
        <v>10</v>
      </c>
      <c r="M19" s="4"/>
      <c r="N19" s="4"/>
      <c r="O19" s="4"/>
      <c r="P19" s="4"/>
    </row>
    <row r="20" spans="1:17" x14ac:dyDescent="0.2">
      <c r="A20" s="4"/>
      <c r="B20" s="4" t="s">
        <v>2</v>
      </c>
      <c r="C20" s="4" t="s">
        <v>3</v>
      </c>
      <c r="D20" s="4" t="s">
        <v>4</v>
      </c>
      <c r="E20" s="4" t="s">
        <v>5</v>
      </c>
      <c r="F20" s="4" t="s">
        <v>14</v>
      </c>
      <c r="G20" s="4" t="s">
        <v>2</v>
      </c>
      <c r="H20" s="4" t="s">
        <v>3</v>
      </c>
      <c r="I20" s="4" t="s">
        <v>4</v>
      </c>
      <c r="J20" s="4" t="s">
        <v>5</v>
      </c>
      <c r="K20" s="4" t="s">
        <v>14</v>
      </c>
      <c r="L20" s="4" t="s">
        <v>2</v>
      </c>
      <c r="M20" s="4" t="s">
        <v>3</v>
      </c>
      <c r="N20" s="4" t="s">
        <v>4</v>
      </c>
      <c r="O20" s="4" t="s">
        <v>5</v>
      </c>
      <c r="P20" s="4" t="s">
        <v>14</v>
      </c>
      <c r="Q20" s="4" t="s">
        <v>14</v>
      </c>
    </row>
    <row r="21" spans="1:17" x14ac:dyDescent="0.2">
      <c r="A21" s="4" t="s">
        <v>6</v>
      </c>
      <c r="B21" s="4">
        <v>0</v>
      </c>
      <c r="C21" s="4">
        <v>0</v>
      </c>
      <c r="D21" s="4">
        <v>0</v>
      </c>
      <c r="E21" s="4">
        <v>0</v>
      </c>
      <c r="F21" s="4">
        <f>AVERAGE(B21:E21)</f>
        <v>0</v>
      </c>
      <c r="G21" s="4">
        <v>0</v>
      </c>
      <c r="H21" s="4">
        <v>0</v>
      </c>
      <c r="I21" s="4">
        <v>0</v>
      </c>
      <c r="J21" s="4">
        <v>0</v>
      </c>
      <c r="K21" s="4">
        <f>AVERAGE(G21:J21)</f>
        <v>0</v>
      </c>
      <c r="L21" s="4">
        <v>0</v>
      </c>
      <c r="M21" s="4">
        <v>0</v>
      </c>
      <c r="N21" s="4">
        <v>0</v>
      </c>
      <c r="O21" s="4">
        <v>0</v>
      </c>
      <c r="P21" s="4">
        <f>AVERAGE(L21:O21)</f>
        <v>0</v>
      </c>
      <c r="Q21" s="4">
        <f>AVERAGE(F21,K21,P21)</f>
        <v>0</v>
      </c>
    </row>
    <row r="22" spans="1:17" x14ac:dyDescent="0.2">
      <c r="A22" s="4" t="s">
        <v>1</v>
      </c>
      <c r="B22" s="4">
        <v>12</v>
      </c>
      <c r="C22" s="4">
        <v>8</v>
      </c>
      <c r="D22" s="4">
        <v>11</v>
      </c>
      <c r="E22" s="4">
        <v>8</v>
      </c>
      <c r="F22" s="4">
        <f t="shared" ref="F22:F25" si="9">AVERAGE(B22:E22)</f>
        <v>9.75</v>
      </c>
      <c r="G22" s="4">
        <v>10</v>
      </c>
      <c r="H22" s="4">
        <v>10</v>
      </c>
      <c r="I22" s="4">
        <v>11</v>
      </c>
      <c r="J22" s="4">
        <v>11</v>
      </c>
      <c r="K22" s="4">
        <f t="shared" ref="K22:K25" si="10">AVERAGE(G22:J22)</f>
        <v>10.5</v>
      </c>
      <c r="L22" s="4">
        <v>9</v>
      </c>
      <c r="M22" s="4">
        <v>12</v>
      </c>
      <c r="N22" s="4">
        <v>7</v>
      </c>
      <c r="O22" s="4">
        <v>9</v>
      </c>
      <c r="P22" s="4">
        <f t="shared" ref="P22:P25" si="11">AVERAGE(L22:O22)</f>
        <v>9.25</v>
      </c>
      <c r="Q22" s="4">
        <f t="shared" ref="Q22:Q25" si="12">AVERAGE(F22,K22,P22)</f>
        <v>9.8333333333333339</v>
      </c>
    </row>
    <row r="23" spans="1:17" x14ac:dyDescent="0.2">
      <c r="A23" s="4" t="s">
        <v>7</v>
      </c>
      <c r="B23" s="4">
        <v>6</v>
      </c>
      <c r="C23" s="4">
        <v>5</v>
      </c>
      <c r="D23" s="4">
        <v>7</v>
      </c>
      <c r="E23" s="4">
        <v>6</v>
      </c>
      <c r="F23" s="4">
        <f t="shared" si="9"/>
        <v>6</v>
      </c>
      <c r="G23" s="4">
        <v>9</v>
      </c>
      <c r="H23" s="4">
        <v>6</v>
      </c>
      <c r="I23" s="4">
        <v>7</v>
      </c>
      <c r="J23" s="4">
        <v>10</v>
      </c>
      <c r="K23" s="4">
        <f t="shared" si="10"/>
        <v>8</v>
      </c>
      <c r="L23" s="4">
        <v>5</v>
      </c>
      <c r="M23" s="4">
        <v>6</v>
      </c>
      <c r="N23" s="4">
        <v>7</v>
      </c>
      <c r="O23" s="4">
        <v>8</v>
      </c>
      <c r="P23" s="4">
        <f t="shared" si="11"/>
        <v>6.5</v>
      </c>
      <c r="Q23" s="4">
        <f t="shared" si="12"/>
        <v>6.833333333333333</v>
      </c>
    </row>
    <row r="24" spans="1:17" x14ac:dyDescent="0.2">
      <c r="A24" s="4" t="s">
        <v>11</v>
      </c>
      <c r="B24" s="4">
        <v>9</v>
      </c>
      <c r="C24" s="4">
        <v>10</v>
      </c>
      <c r="D24" s="4">
        <v>11</v>
      </c>
      <c r="E24" s="4">
        <v>8</v>
      </c>
      <c r="F24" s="4">
        <f t="shared" si="9"/>
        <v>9.5</v>
      </c>
      <c r="G24" s="4">
        <v>11</v>
      </c>
      <c r="H24" s="4">
        <v>8</v>
      </c>
      <c r="I24" s="4">
        <v>7</v>
      </c>
      <c r="J24" s="4">
        <v>9</v>
      </c>
      <c r="K24" s="4">
        <f t="shared" si="10"/>
        <v>8.75</v>
      </c>
      <c r="L24" s="4">
        <v>5</v>
      </c>
      <c r="M24" s="4">
        <v>12</v>
      </c>
      <c r="N24" s="4">
        <v>7</v>
      </c>
      <c r="O24" s="4">
        <v>8</v>
      </c>
      <c r="P24" s="4">
        <f t="shared" si="11"/>
        <v>8</v>
      </c>
      <c r="Q24" s="4">
        <f t="shared" si="12"/>
        <v>8.75</v>
      </c>
    </row>
    <row r="25" spans="1:17" x14ac:dyDescent="0.2">
      <c r="A25" s="4" t="s">
        <v>12</v>
      </c>
      <c r="B25" s="4">
        <v>9</v>
      </c>
      <c r="C25" s="4">
        <v>10</v>
      </c>
      <c r="D25" s="4">
        <v>8</v>
      </c>
      <c r="E25" s="4">
        <v>4</v>
      </c>
      <c r="F25" s="4">
        <f t="shared" si="9"/>
        <v>7.75</v>
      </c>
      <c r="G25" s="4">
        <v>10</v>
      </c>
      <c r="H25" s="4">
        <v>7</v>
      </c>
      <c r="I25" s="4">
        <v>7</v>
      </c>
      <c r="J25" s="4">
        <v>8</v>
      </c>
      <c r="K25" s="4">
        <f t="shared" si="10"/>
        <v>8</v>
      </c>
      <c r="L25" s="4">
        <v>4</v>
      </c>
      <c r="M25" s="4">
        <v>11</v>
      </c>
      <c r="N25" s="4">
        <v>6</v>
      </c>
      <c r="O25" s="4">
        <v>6</v>
      </c>
      <c r="P25" s="4">
        <f t="shared" si="11"/>
        <v>6.75</v>
      </c>
      <c r="Q25" s="4">
        <f t="shared" si="12"/>
        <v>7.5</v>
      </c>
    </row>
  </sheetData>
  <mergeCells count="6">
    <mergeCell ref="B1:E1"/>
    <mergeCell ref="G1:J1"/>
    <mergeCell ref="L1:O1"/>
    <mergeCell ref="B9:E9"/>
    <mergeCell ref="G9:J9"/>
    <mergeCell ref="L9:O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BF8D-D0A9-B842-A4E7-7717F8D3AC76}">
  <dimension ref="A1:C5"/>
  <sheetViews>
    <sheetView workbookViewId="0">
      <selection activeCell="I6" sqref="I6"/>
    </sheetView>
  </sheetViews>
  <sheetFormatPr baseColWidth="10" defaultRowHeight="15" x14ac:dyDescent="0.2"/>
  <cols>
    <col min="1" max="2" width="25" customWidth="1"/>
    <col min="3" max="3" width="22" customWidth="1"/>
  </cols>
  <sheetData>
    <row r="1" spans="1:3" ht="24" x14ac:dyDescent="0.3">
      <c r="A1" s="13" t="s">
        <v>17</v>
      </c>
      <c r="B1" s="13" t="s">
        <v>18</v>
      </c>
      <c r="C1" s="13" t="s">
        <v>19</v>
      </c>
    </row>
    <row r="2" spans="1:3" ht="19" x14ac:dyDescent="0.25">
      <c r="A2" s="14">
        <v>1.8791666666666667</v>
      </c>
      <c r="B2" s="14">
        <v>6.333333333333333</v>
      </c>
      <c r="C2" s="14">
        <v>4.25</v>
      </c>
    </row>
    <row r="3" spans="1:3" ht="19" x14ac:dyDescent="0.25">
      <c r="A3" s="14">
        <v>2.2587916666666663</v>
      </c>
      <c r="B3" s="14">
        <v>6.666666666666667</v>
      </c>
      <c r="C3" s="14">
        <v>3.8333333333333335</v>
      </c>
    </row>
    <row r="4" spans="1:3" ht="19" x14ac:dyDescent="0.25">
      <c r="A4" s="14">
        <v>2.8972916666666664</v>
      </c>
      <c r="B4" s="14">
        <v>8.5</v>
      </c>
      <c r="C4" s="14">
        <v>6</v>
      </c>
    </row>
    <row r="5" spans="1:3" ht="19" x14ac:dyDescent="0.25">
      <c r="A5" s="14">
        <v>3.3993333333333333</v>
      </c>
      <c r="B5" s="14">
        <v>10.909090909090908</v>
      </c>
      <c r="C5" s="14">
        <v>7.2727272727272725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1ul</vt:lpstr>
      <vt:lpstr>2ul</vt:lpstr>
      <vt:lpstr>4ul</vt:lpstr>
      <vt:lpstr>6ul</vt:lpstr>
      <vt:lpstr>Recap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 Majed</dc:creator>
  <cp:lastModifiedBy>Racha Majed</cp:lastModifiedBy>
  <dcterms:created xsi:type="dcterms:W3CDTF">2021-04-26T10:01:21Z</dcterms:created>
  <dcterms:modified xsi:type="dcterms:W3CDTF">2021-05-04T16:25:13Z</dcterms:modified>
</cp:coreProperties>
</file>